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ad Me" sheetId="1" state="visible" r:id="rId1"/>
    <sheet name="1. Your Stress Test" sheetId="2" state="visible" r:id="rId2"/>
    <sheet name="2. Results" sheetId="3" state="visible" r:id="rId3"/>
    <sheet name="3. Year by Year" sheetId="4" state="visible" r:id="rId4"/>
    <sheet name="Example Case" sheetId="5" state="visible" r:id="rId5"/>
    <sheet name="Tables" sheetId="6" state="visible" r:id="rId6"/>
    <sheet name="ENG_S1_BASE" sheetId="7" state="visible" r:id="rId7"/>
    <sheet name="ENG_S1_STRESS" sheetId="8" state="visible" r:id="rId8"/>
    <sheet name="ENG_S2_BASE" sheetId="9" state="visible" r:id="rId9"/>
    <sheet name="ENG_S2_STRESS" sheetId="10" state="visible" r:id="rId10"/>
    <sheet name="ENG_S3_BASE" sheetId="11" state="visible" r:id="rId11"/>
    <sheet name="ENG_S3_STRESS" sheetId="12" state="visible" r:id="rId12"/>
    <sheet name="ENG_SENS_M4" sheetId="13" state="visible" r:id="rId13"/>
    <sheet name="ENG_SENS_M2" sheetId="14" state="visible" r:id="rId14"/>
    <sheet name="ENG_SENS_0" sheetId="15" state="visible" r:id="rId15"/>
    <sheet name="ENG_SENS_P2" sheetId="16" state="visible" r:id="rId16"/>
    <sheet name="ENG_SENS_P4" sheetId="17" state="visible" r:id="rId17"/>
    <sheet name="ENG_SENS_P6" sheetId="18" state="visible" r:id="rId18"/>
    <sheet name="ENG_SENS_P8" sheetId="19" state="visible" r:id="rId19"/>
    <sheet name="ENG_GUARD" sheetId="20" state="visible" r:id="rId20"/>
    <sheet name="Sources" sheetId="21" state="visible" r:id="rId21"/>
  </sheets>
  <definedNames/>
  <calcPr calcId="124519" fullCalcOnLoad="1"/>
</workbook>
</file>

<file path=xl/styles.xml><?xml version="1.0" encoding="utf-8"?>
<styleSheet xmlns="http://schemas.openxmlformats.org/spreadsheetml/2006/main">
  <numFmts count="3">
    <numFmt numFmtId="164" formatCode="&quot;$&quot;#,##0"/>
    <numFmt numFmtId="165" formatCode="&quot;$&quot;#,##0.00"/>
    <numFmt numFmtId="166" formatCode="0.0%"/>
  </numFmts>
  <fonts count="24">
    <font>
      <name val="Calibri"/>
      <family val="2"/>
      <color theme="1"/>
      <sz val="11"/>
      <scheme val="minor"/>
    </font>
    <font>
      <name val="Calibri"/>
      <b val="1"/>
      <color rgb="000B1D33"/>
      <sz val="11"/>
    </font>
    <font>
      <name val="Calibri"/>
      <i val="1"/>
      <color rgb="000B1D33"/>
      <sz val="9"/>
    </font>
    <font>
      <name val="Calibri"/>
      <color rgb="000B1D33"/>
      <sz val="10"/>
    </font>
    <font>
      <name val="Calibri"/>
      <b val="1"/>
      <color rgb="000B1D33"/>
      <sz val="10"/>
    </font>
    <font>
      <name val="Calibri"/>
      <b val="1"/>
      <color rgb="000B1D33"/>
      <sz val="9"/>
    </font>
    <font>
      <name val="Calibri"/>
      <b val="1"/>
      <color rgb="00F6F2EC"/>
      <sz val="9"/>
    </font>
    <font>
      <name val="Calibri"/>
      <b val="1"/>
      <color rgb="00FFFFFF"/>
      <sz val="9"/>
    </font>
    <font>
      <name val="Georgia"/>
      <b val="1"/>
      <color rgb="00FFFFFF"/>
      <sz val="16"/>
    </font>
    <font>
      <name val="Calibri"/>
      <b val="1"/>
      <color rgb="00C79A3B"/>
      <sz val="10"/>
    </font>
    <font>
      <name val="Calibri"/>
      <b val="1"/>
      <color rgb="008A6A25"/>
      <sz val="11"/>
    </font>
    <font>
      <name val="Calibri"/>
      <b val="1"/>
      <color rgb="00FFFFFF"/>
      <sz val="10"/>
    </font>
    <font>
      <name val="Calibri"/>
      <b val="1"/>
      <color rgb="008A6A25"/>
      <sz val="10"/>
    </font>
    <font>
      <name val="Calibri"/>
      <i val="1"/>
      <color rgb="000B1D33"/>
      <sz val="8"/>
    </font>
    <font>
      <name val="Calibri"/>
      <b val="1"/>
      <color rgb="000B1D33"/>
      <sz val="8"/>
    </font>
    <font>
      <name val="Calibri"/>
      <color rgb="000B1D33"/>
      <sz val="8"/>
    </font>
    <font>
      <name val="Calibri"/>
      <b val="1"/>
      <color rgb="008A6A25"/>
      <sz val="9"/>
    </font>
    <font>
      <name val="Calibri"/>
      <color rgb="00999999"/>
      <sz val="8"/>
    </font>
    <font>
      <name val="Calibri"/>
      <i val="1"/>
      <color rgb="00999999"/>
      <sz val="8"/>
    </font>
    <font>
      <name val="Georgia"/>
      <b val="1"/>
      <color rgb="00FFFFFF"/>
      <sz val="24"/>
    </font>
    <font>
      <name val="Georgia"/>
      <i val="1"/>
      <color rgb="00F6F2EC"/>
      <sz val="12"/>
    </font>
    <font>
      <name val="Calibri"/>
      <color rgb="00F6F2EC"/>
      <sz val="10"/>
    </font>
    <font>
      <name val="Calibri"/>
      <color rgb="000B1D33"/>
      <sz val="11"/>
    </font>
    <font>
      <name val="Georgia"/>
      <b val="1"/>
      <color rgb="008A6A25"/>
      <sz val="14"/>
    </font>
  </fonts>
  <fills count="7">
    <fill>
      <patternFill/>
    </fill>
    <fill>
      <patternFill patternType="gray125"/>
    </fill>
    <fill>
      <patternFill patternType="solid">
        <fgColor rgb="00E7DED1"/>
        <bgColor rgb="00E7DED1"/>
      </patternFill>
    </fill>
    <fill>
      <patternFill patternType="solid">
        <fgColor rgb="000B1D33"/>
        <bgColor rgb="000B1D33"/>
      </patternFill>
    </fill>
    <fill>
      <patternFill patternType="solid">
        <fgColor rgb="00FFFFFF"/>
        <bgColor rgb="00FFFFFF"/>
      </patternFill>
    </fill>
    <fill>
      <patternFill patternType="solid">
        <fgColor rgb="00F6F2EC"/>
        <bgColor rgb="00F6F2EC"/>
      </patternFill>
    </fill>
    <fill>
      <patternFill patternType="solid">
        <fgColor rgb="00C79A3B"/>
        <bgColor rgb="00C79A3B"/>
      </patternFill>
    </fill>
  </fills>
  <borders count="6">
    <border>
      <left/>
      <right/>
      <top/>
      <bottom/>
      <diagonal/>
    </border>
    <border>
      <left style="thin">
        <color rgb="00DAD5CC"/>
      </left>
      <right style="thin">
        <color rgb="00DAD5CC"/>
      </right>
      <top style="thin">
        <color rgb="00DAD5CC"/>
      </top>
      <bottom style="thin">
        <color rgb="00DAD5CC"/>
      </bottom>
    </border>
    <border>
      <left style="thin">
        <color rgb="000B1D33"/>
      </left>
      <right style="thin">
        <color rgb="000B1D33"/>
      </right>
      <top style="thin">
        <color rgb="000B1D33"/>
      </top>
      <bottom style="thin">
        <color rgb="000B1D33"/>
      </bottom>
    </border>
    <border>
      <bottom style="thin">
        <color rgb="00C79A3B"/>
      </bottom>
    </border>
    <border/>
    <border>
      <left style="medium">
        <color rgb="00C79A3B"/>
      </left>
      <bottom style="thin">
        <color rgb="00DAD5CC"/>
      </bottom>
    </border>
  </borders>
  <cellStyleXfs count="1">
    <xf numFmtId="0" fontId="0" fillId="0" borderId="0"/>
  </cellStyleXfs>
  <cellXfs count="77">
    <xf numFmtId="0" fontId="0" fillId="0" borderId="0" pivotButton="0" quotePrefix="0" xfId="0"/>
    <xf numFmtId="0" fontId="0" fillId="3" borderId="0" pivotButton="0" quotePrefix="0" xfId="0"/>
    <xf numFmtId="0" fontId="0" fillId="5" borderId="0" pivotButton="0" quotePrefix="0" xfId="0"/>
    <xf numFmtId="0" fontId="19" fillId="3" borderId="0" pivotButton="0" quotePrefix="0" xfId="0"/>
    <xf numFmtId="0" fontId="20" fillId="3" borderId="0" pivotButton="0" quotePrefix="0" xfId="0"/>
    <xf numFmtId="0" fontId="9" fillId="3" borderId="0" pivotButton="0" quotePrefix="0" xfId="0"/>
    <xf numFmtId="0" fontId="21" fillId="3" borderId="0" pivotButton="0" quotePrefix="0" xfId="0"/>
    <xf numFmtId="0" fontId="22" fillId="5" borderId="0" applyAlignment="1" pivotButton="0" quotePrefix="0" xfId="0">
      <alignment vertical="top" wrapText="1"/>
    </xf>
    <xf numFmtId="0" fontId="12" fillId="5" borderId="0" pivotButton="0" quotePrefix="0" xfId="0"/>
    <xf numFmtId="0" fontId="23" fillId="5" borderId="0" pivotButton="0" quotePrefix="0" xfId="0"/>
    <xf numFmtId="0" fontId="3" fillId="5" borderId="0" applyAlignment="1" pivotButton="0" quotePrefix="0" xfId="0">
      <alignment vertical="center" wrapText="1"/>
    </xf>
    <xf numFmtId="0" fontId="6" fillId="3" borderId="0" applyAlignment="1" pivotButton="0" quotePrefix="0" xfId="0">
      <alignment horizontal="center" vertical="center"/>
    </xf>
    <xf numFmtId="0" fontId="5" fillId="2" borderId="1" applyAlignment="1" pivotButton="0" quotePrefix="0" xfId="0">
      <alignment horizontal="center" vertical="center"/>
    </xf>
    <xf numFmtId="0" fontId="5" fillId="5" borderId="5" applyAlignment="1" pivotButton="0" quotePrefix="0" xfId="0">
      <alignment horizontal="center" vertical="center"/>
    </xf>
    <xf numFmtId="0" fontId="5" fillId="6" borderId="0" applyAlignment="1" pivotButton="0" quotePrefix="0" xfId="0">
      <alignment horizontal="center" vertical="center"/>
    </xf>
    <xf numFmtId="0" fontId="3" fillId="5" borderId="0" applyAlignment="1" pivotButton="0" quotePrefix="0" xfId="0">
      <alignment vertical="top" wrapText="1"/>
    </xf>
    <xf numFmtId="0" fontId="2" fillId="5" borderId="0" applyAlignment="1" pivotButton="0" quotePrefix="0" xfId="0">
      <alignment vertical="top" wrapText="1"/>
    </xf>
    <xf numFmtId="0" fontId="8" fillId="3" borderId="0" applyAlignment="1" pivotButton="0" quotePrefix="0" xfId="0">
      <alignment vertical="center"/>
    </xf>
    <xf numFmtId="0" fontId="9" fillId="3" borderId="0" applyAlignment="1" pivotButton="0" quotePrefix="0" xfId="0">
      <alignment vertical="center"/>
    </xf>
    <xf numFmtId="0" fontId="10" fillId="5" borderId="0" pivotButton="0" quotePrefix="0" xfId="0"/>
    <xf numFmtId="0" fontId="1" fillId="4" borderId="2" applyAlignment="1" applyProtection="1" pivotButton="0" quotePrefix="0" xfId="0">
      <alignment horizontal="center"/>
      <protection locked="0" hidden="0"/>
    </xf>
    <xf numFmtId="0" fontId="11" fillId="3" borderId="0" applyAlignment="1" pivotButton="0" quotePrefix="0" xfId="0">
      <alignment horizontal="left" vertical="center"/>
    </xf>
    <xf numFmtId="0" fontId="11" fillId="3" borderId="0" applyAlignment="1" pivotButton="0" quotePrefix="0" xfId="0">
      <alignment horizontal="center" vertical="center"/>
    </xf>
    <xf numFmtId="0" fontId="12" fillId="5" borderId="3" pivotButton="0" quotePrefix="0" xfId="0"/>
    <xf numFmtId="0" fontId="0" fillId="5" borderId="3" pivotButton="0" quotePrefix="0" xfId="0"/>
    <xf numFmtId="164" fontId="3" fillId="2" borderId="0" applyAlignment="1" pivotButton="0" quotePrefix="0" xfId="0">
      <alignment horizontal="center"/>
    </xf>
    <xf numFmtId="164" fontId="4" fillId="4" borderId="2" applyAlignment="1" applyProtection="1" pivotButton="0" quotePrefix="0" xfId="0">
      <alignment horizontal="center"/>
      <protection locked="0" hidden="0"/>
    </xf>
    <xf numFmtId="0" fontId="2" fillId="5" borderId="0" applyAlignment="1" pivotButton="0" quotePrefix="0" xfId="0">
      <alignment vertical="center" wrapText="1"/>
    </xf>
    <xf numFmtId="166" fontId="3" fillId="2" borderId="0" applyAlignment="1" pivotButton="0" quotePrefix="0" xfId="0">
      <alignment horizontal="center"/>
    </xf>
    <xf numFmtId="166" fontId="4" fillId="4" borderId="2" applyAlignment="1" applyProtection="1" pivotButton="0" quotePrefix="0" xfId="0">
      <alignment horizontal="center"/>
      <protection locked="0" hidden="0"/>
    </xf>
    <xf numFmtId="1" fontId="3" fillId="2" borderId="0" applyAlignment="1" pivotButton="0" quotePrefix="0" xfId="0">
      <alignment horizontal="center"/>
    </xf>
    <xf numFmtId="1" fontId="4" fillId="4" borderId="2" applyAlignment="1" applyProtection="1" pivotButton="0" quotePrefix="0" xfId="0">
      <alignment horizontal="center"/>
      <protection locked="0" hidden="0"/>
    </xf>
    <xf numFmtId="1" fontId="4" fillId="2" borderId="4" applyAlignment="1" pivotButton="0" quotePrefix="0" xfId="0">
      <alignment horizontal="center"/>
    </xf>
    <xf numFmtId="0" fontId="3" fillId="2" borderId="0" applyAlignment="1" pivotButton="0" quotePrefix="0" xfId="0">
      <alignment horizontal="center"/>
    </xf>
    <xf numFmtId="0" fontId="4" fillId="4" borderId="2" applyAlignment="1" applyProtection="1" pivotButton="0" quotePrefix="0" xfId="0">
      <alignment horizontal="center"/>
      <protection locked="0" hidden="0"/>
    </xf>
    <xf numFmtId="9" fontId="3" fillId="2" borderId="0" applyAlignment="1" pivotButton="0" quotePrefix="0" xfId="0">
      <alignment horizontal="center"/>
    </xf>
    <xf numFmtId="9" fontId="4" fillId="4" borderId="2" applyAlignment="1" applyProtection="1" pivotButton="0" quotePrefix="0" xfId="0">
      <alignment horizontal="center"/>
      <protection locked="0" hidden="0"/>
    </xf>
    <xf numFmtId="0" fontId="2" fillId="5" borderId="0" pivotButton="0" quotePrefix="0" xfId="0"/>
    <xf numFmtId="0" fontId="13" fillId="5" borderId="0" pivotButton="0" quotePrefix="0" xfId="0"/>
    <xf numFmtId="0" fontId="4" fillId="5" borderId="0" pivotButton="0" quotePrefix="0" xfId="0"/>
    <xf numFmtId="0" fontId="18" fillId="5" borderId="0" pivotButton="0" quotePrefix="0" xfId="0"/>
    <xf numFmtId="0" fontId="14" fillId="5" borderId="0" pivotButton="0" quotePrefix="0" xfId="0"/>
    <xf numFmtId="0" fontId="16" fillId="5" borderId="0" pivotButton="0" quotePrefix="0" xfId="0"/>
    <xf numFmtId="0" fontId="17" fillId="5" borderId="0" pivotButton="0" quotePrefix="0" xfId="0"/>
    <xf numFmtId="0" fontId="11" fillId="3" borderId="0" applyAlignment="1" pivotButton="0" quotePrefix="0" xfId="0">
      <alignment horizontal="left"/>
    </xf>
    <xf numFmtId="0" fontId="11" fillId="3" borderId="0" applyAlignment="1" pivotButton="0" quotePrefix="0" xfId="0">
      <alignment horizontal="center"/>
    </xf>
    <xf numFmtId="0" fontId="3" fillId="2" borderId="0" pivotButton="0" quotePrefix="0" xfId="0"/>
    <xf numFmtId="164" fontId="0" fillId="2" borderId="0" applyAlignment="1" pivotButton="0" quotePrefix="0" xfId="0">
      <alignment horizontal="center"/>
    </xf>
    <xf numFmtId="0" fontId="0" fillId="2" borderId="0" applyAlignment="1" pivotButton="0" quotePrefix="0" xfId="0">
      <alignment horizontal="center"/>
    </xf>
    <xf numFmtId="0" fontId="3" fillId="5" borderId="0" pivotButton="0" quotePrefix="0" xfId="0"/>
    <xf numFmtId="164" fontId="0" fillId="5" borderId="0" applyAlignment="1" pivotButton="0" quotePrefix="0" xfId="0">
      <alignment horizontal="center"/>
    </xf>
    <xf numFmtId="0" fontId="0" fillId="5" borderId="0" applyAlignment="1" pivotButton="0" quotePrefix="0" xfId="0">
      <alignment horizontal="center"/>
    </xf>
    <xf numFmtId="0" fontId="11" fillId="3" borderId="0" pivotButton="0" quotePrefix="0" xfId="0"/>
    <xf numFmtId="0" fontId="4" fillId="4" borderId="2" applyProtection="1" pivotButton="0" quotePrefix="0" xfId="0">
      <protection locked="0" hidden="0"/>
    </xf>
    <xf numFmtId="0" fontId="7" fillId="3" borderId="0" applyAlignment="1" pivotButton="0" quotePrefix="0" xfId="0">
      <alignment horizontal="center" wrapText="1"/>
    </xf>
    <xf numFmtId="9" fontId="0" fillId="5" borderId="0" applyAlignment="1" pivotButton="0" quotePrefix="0" xfId="0">
      <alignment horizontal="center"/>
    </xf>
    <xf numFmtId="9" fontId="0" fillId="2" borderId="0" applyAlignment="1" pivotButton="0" quotePrefix="0" xfId="0">
      <alignment horizontal="center"/>
    </xf>
    <xf numFmtId="1" fontId="4" fillId="2" borderId="0" applyAlignment="1" pivotButton="0" quotePrefix="0" xfId="0">
      <alignment horizontal="center"/>
    </xf>
    <xf numFmtId="0" fontId="2" fillId="2" borderId="0" applyAlignment="1" pivotButton="0" quotePrefix="0" xfId="0">
      <alignment vertical="center" wrapText="1"/>
    </xf>
    <xf numFmtId="164" fontId="4" fillId="5" borderId="0" applyAlignment="1" pivotButton="0" quotePrefix="0" xfId="0">
      <alignment horizontal="center"/>
    </xf>
    <xf numFmtId="164" fontId="4" fillId="2" borderId="0" applyAlignment="1" pivotButton="0" quotePrefix="0" xfId="0">
      <alignment horizontal="center"/>
    </xf>
    <xf numFmtId="0" fontId="13" fillId="5" borderId="0" applyAlignment="1" pivotButton="0" quotePrefix="0" xfId="0">
      <alignment vertical="top" wrapText="1"/>
    </xf>
    <xf numFmtId="0" fontId="1" fillId="0" borderId="0" pivotButton="0" quotePrefix="0" xfId="0"/>
    <xf numFmtId="0" fontId="2" fillId="0" borderId="0" pivotButton="0" quotePrefix="0" xfId="0"/>
    <xf numFmtId="0" fontId="3" fillId="0" borderId="0" pivotButton="0" quotePrefix="0" xfId="0"/>
    <xf numFmtId="164" fontId="4" fillId="0" borderId="0" pivotButton="0" quotePrefix="0" xfId="0"/>
    <xf numFmtId="0" fontId="4" fillId="0" borderId="0" pivotButton="0" quotePrefix="0" xfId="0"/>
    <xf numFmtId="9" fontId="4" fillId="0" borderId="0" pivotButton="0" quotePrefix="0" xfId="0"/>
    <xf numFmtId="0" fontId="7" fillId="3" borderId="0" pivotButton="0" quotePrefix="0" xfId="0"/>
    <xf numFmtId="164" fontId="0" fillId="0" borderId="0" pivotButton="0" quotePrefix="0" xfId="0"/>
    <xf numFmtId="9" fontId="0" fillId="0" borderId="0" pivotButton="0" quotePrefix="0" xfId="0"/>
    <xf numFmtId="165" fontId="0" fillId="0" borderId="0" pivotButton="0" quotePrefix="0" xfId="0"/>
    <xf numFmtId="0" fontId="14" fillId="0" borderId="0" pivotButton="0" quotePrefix="0" xfId="0"/>
    <xf numFmtId="0" fontId="15" fillId="0" borderId="0" pivotButton="0" quotePrefix="0" xfId="0"/>
    <xf numFmtId="0" fontId="5" fillId="0" borderId="0" pivotButton="0" quotePrefix="0" xfId="0"/>
    <xf numFmtId="0" fontId="3" fillId="2" borderId="0" applyAlignment="1" pivotButton="0" quotePrefix="0" xfId="0">
      <alignment vertical="center" wrapText="1"/>
    </xf>
    <xf numFmtId="0" fontId="6" fillId="2"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styles" Target="styles.xml" Id="rId22" /><Relationship Type="http://schemas.openxmlformats.org/officeDocument/2006/relationships/theme" Target="theme/theme1.xml" Id="rId23" /></Relationships>
</file>

<file path=xl/charts/chart1.xml><?xml version="1.0" encoding="utf-8"?>
<chartSpace xmlns:a="http://schemas.openxmlformats.org/drawingml/2006/main" xmlns="http://schemas.openxmlformats.org/drawingml/2006/chart">
  <style val="2"/>
  <chart>
    <title>
      <tx>
        <rich>
          <a:bodyPr/>
          <a:p>
            <a:pPr>
              <a:defRPr/>
            </a:pPr>
            <a:r>
              <a:t>Portfolio by age — smooth vs stress (active strategy)</a:t>
            </a:r>
          </a:p>
        </rich>
      </tx>
    </title>
    <plotArea>
      <lineChart>
        <grouping val="standard"/>
        <ser>
          <idx val="0"/>
          <order val="0"/>
          <tx>
            <v>Smooth path</v>
          </tx>
          <spPr>
            <a:ln w="22000">
              <a:solidFill>
                <a:srgbClr val="0B1D33"/>
              </a:solidFill>
              <a:prstDash val="solid"/>
            </a:ln>
          </spPr>
          <marker>
            <symbol val="none"/>
            <spPr>
              <a:ln>
                <a:prstDash val="solid"/>
              </a:ln>
            </spPr>
          </marker>
          <cat>
            <numRef>
              <f>'2. Results'!$P$6:$P$39</f>
            </numRef>
          </cat>
          <val>
            <numRef>
              <f>'2. Results'!$Q$6:$Q$39</f>
            </numRef>
          </val>
          <smooth val="0"/>
        </ser>
        <ser>
          <idx val="1"/>
          <order val="1"/>
          <tx>
            <v>Stress path</v>
          </tx>
          <spPr>
            <a:ln w="22000">
              <a:solidFill>
                <a:srgbClr val="C79A3B"/>
              </a:solidFill>
              <a:prstDash val="solid"/>
            </a:ln>
          </spPr>
          <marker>
            <symbol val="none"/>
            <spPr>
              <a:ln>
                <a:prstDash val="solid"/>
              </a:ln>
            </spPr>
          </marker>
          <cat>
            <numRef>
              <f>'2. Results'!$P$6:$P$39</f>
            </numRef>
          </cat>
          <val>
            <numRef>
              <f>'2. Results'!$R$6:$R$39</f>
            </numRef>
          </val>
          <smooth val="0"/>
        </ser>
        <axId val="10"/>
        <axId val="100"/>
      </lineChart>
      <catAx>
        <axId val="10"/>
        <scaling>
          <orientation val="minMax"/>
        </scaling>
        <delete val="0"/>
        <axPos val="l"/>
        <title>
          <tx>
            <rich>
              <a:bodyPr/>
              <a:p>
                <a:pPr>
                  <a:defRPr/>
                </a:pPr>
                <a:r>
                  <a:t>Age</a:t>
                </a:r>
              </a:p>
            </rich>
          </tx>
        </title>
        <majorTickMark val="none"/>
        <minorTickMark val="none"/>
        <crossAx val="100"/>
        <lblOffset val="100"/>
      </catAx>
      <valAx>
        <axId val="100"/>
        <scaling>
          <orientation val="minMax"/>
        </scaling>
        <delete val="0"/>
        <axPos val="l"/>
        <majorGridlines/>
        <numFmt formatCode="&quot;$&quot;#,##0" sourceLinked="0"/>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4</col>
      <colOff>0</colOff>
      <row>34</row>
      <rowOff>0</rowOff>
    </from>
    <ext cx="5903999" cy="3096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G30"/>
  <sheetViews>
    <sheetView showGridLines="0" workbookViewId="0">
      <selection activeCell="A1" sqref="A1"/>
    </sheetView>
  </sheetViews>
  <sheetFormatPr baseColWidth="8" defaultRowHeight="15"/>
  <cols>
    <col width="3" customWidth="1" min="1" max="1"/>
    <col width="30" customWidth="1" min="2" max="2"/>
    <col width="30" customWidth="1" min="3" max="3"/>
    <col width="30" customWidth="1" min="4" max="4"/>
    <col width="30" customWidth="1" min="5" max="5"/>
    <col width="3" customWidth="1" min="6" max="6"/>
  </cols>
  <sheetData>
    <row r="1">
      <c r="A1" s="1" t="n"/>
      <c r="B1" s="1" t="n"/>
      <c r="C1" s="1" t="n"/>
      <c r="D1" s="1" t="n"/>
      <c r="E1" s="1" t="n"/>
      <c r="F1" s="1" t="n"/>
      <c r="G1" s="2" t="n"/>
    </row>
    <row r="2">
      <c r="A2" s="1" t="n"/>
      <c r="B2" s="1" t="n"/>
      <c r="C2" s="1" t="n"/>
      <c r="D2" s="1" t="n"/>
      <c r="E2" s="1" t="n"/>
      <c r="F2" s="1" t="n"/>
      <c r="G2" s="2" t="n"/>
    </row>
    <row r="3" ht="32" customHeight="1">
      <c r="A3" s="1" t="n"/>
      <c r="B3" s="3" t="inlineStr">
        <is>
          <t>THE RETIREMENT STRESS TEST</t>
        </is>
      </c>
      <c r="C3" s="1" t="n"/>
      <c r="D3" s="1" t="n"/>
      <c r="E3" s="1" t="n"/>
      <c r="F3" s="1" t="n"/>
      <c r="G3" s="2" t="n"/>
    </row>
    <row r="4">
      <c r="A4" s="1" t="n"/>
      <c r="B4" s="4" t="inlineStr">
        <is>
          <t>A Money After Work workbook — can your plan survive a bad decade?</t>
        </is>
      </c>
      <c r="C4" s="1" t="n"/>
      <c r="D4" s="1" t="n"/>
      <c r="E4" s="1" t="n"/>
      <c r="F4" s="1" t="n"/>
      <c r="G4" s="2" t="n"/>
    </row>
    <row r="5">
      <c r="A5" s="1" t="n"/>
      <c r="B5" s="1" t="n"/>
      <c r="C5" s="1" t="n"/>
      <c r="D5" s="1" t="n"/>
      <c r="E5" s="1" t="n"/>
      <c r="F5" s="1" t="n"/>
      <c r="G5" s="2" t="n"/>
    </row>
    <row r="6">
      <c r="A6" s="1" t="n"/>
      <c r="B6" s="5" t="inlineStr">
        <is>
          <t>MAKE IT LAST.  MAKE IT COUNT.</t>
        </is>
      </c>
      <c r="C6" s="1" t="n"/>
      <c r="D6" s="1" t="n"/>
      <c r="E6" s="1" t="n"/>
      <c r="F6" s="1" t="n"/>
      <c r="G6" s="2" t="n"/>
    </row>
    <row r="7">
      <c r="A7" s="1" t="n"/>
      <c r="B7" s="6" t="inlineStr">
        <is>
          <t>Edition 1 — July 2026 · Built on 2026 federal rules · moneyafterwork.org/model</t>
        </is>
      </c>
      <c r="C7" s="1" t="n"/>
      <c r="D7" s="1" t="n"/>
      <c r="E7" s="1" t="n"/>
      <c r="F7" s="1" t="n"/>
      <c r="G7" s="2" t="n"/>
    </row>
    <row r="8">
      <c r="A8" s="1" t="n"/>
      <c r="B8" s="1" t="n"/>
      <c r="C8" s="1" t="n"/>
      <c r="D8" s="1" t="n"/>
      <c r="E8" s="1" t="n"/>
      <c r="F8" s="1" t="n"/>
      <c r="G8" s="2" t="n"/>
    </row>
    <row r="9">
      <c r="A9" s="2" t="n"/>
      <c r="B9" s="2" t="n"/>
      <c r="C9" s="2" t="n"/>
      <c r="D9" s="2" t="n"/>
      <c r="E9" s="2" t="n"/>
      <c r="F9" s="2" t="n"/>
      <c r="G9" s="2" t="n"/>
    </row>
    <row r="10" ht="60" customHeight="1">
      <c r="A10" s="2" t="n"/>
      <c r="B10" s="7" t="inlineStr">
        <is>
          <t>This is the deterministic retirement model with live formulas: three Social Security claiming strategies, a smooth 3% path and a deliberately bad opening sequence, 2026 federal tax, RMDs at 75, and a spending guardrail. A worked example is pre-loaded so you see it run before you type — then your numbers go right beside it.</t>
        </is>
      </c>
      <c r="C10" s="2" t="n"/>
      <c r="D10" s="2" t="n"/>
      <c r="E10" s="2" t="n"/>
      <c r="F10" s="2" t="n"/>
      <c r="G10" s="2" t="n"/>
    </row>
    <row r="11">
      <c r="A11" s="2" t="n"/>
      <c r="B11" s="2" t="n"/>
      <c r="C11" s="2" t="n"/>
      <c r="D11" s="2" t="n"/>
      <c r="E11" s="2" t="n"/>
      <c r="F11" s="2" t="n"/>
      <c r="G11" s="2" t="n"/>
    </row>
    <row r="12">
      <c r="A12" s="2" t="n"/>
      <c r="B12" s="8" t="inlineStr">
        <is>
          <t>THREE STEPS</t>
        </is>
      </c>
      <c r="C12" s="2" t="n"/>
      <c r="D12" s="2" t="n"/>
      <c r="E12" s="2" t="n"/>
      <c r="F12" s="2" t="n"/>
      <c r="G12" s="2" t="n"/>
    </row>
    <row r="13" ht="30" customHeight="1">
      <c r="A13" s="2" t="n"/>
      <c r="B13" s="9" t="inlineStr">
        <is>
          <t>1</t>
        </is>
      </c>
      <c r="C13" s="10" t="inlineStr">
        <is>
          <t>Open Your Stress Test. Read the worked example in the EXAMPLE column — every row is tagged and explained.</t>
        </is>
      </c>
      <c r="D13" s="2" t="n"/>
      <c r="E13" s="2" t="n"/>
      <c r="F13" s="2" t="n"/>
      <c r="G13" s="2" t="n"/>
    </row>
    <row r="14" ht="30" customHeight="1">
      <c r="A14" s="2" t="n"/>
      <c r="B14" s="9" t="inlineStr">
        <is>
          <t>2</t>
        </is>
      </c>
      <c r="C14" s="10" t="inlineStr">
        <is>
          <t>Type your own numbers in the YOUR NUMBERS column, then switch ACTIVE CASE to “Your numbers”.</t>
        </is>
      </c>
      <c r="D14" s="2" t="n"/>
      <c r="E14" s="2" t="n"/>
      <c r="F14" s="2" t="n"/>
      <c r="G14" s="2" t="n"/>
    </row>
    <row r="15" ht="30" customHeight="1">
      <c r="A15" s="2" t="n"/>
      <c r="B15" s="9" t="inlineStr">
        <is>
          <t>3</t>
        </is>
      </c>
      <c r="C15" s="10" t="inlineStr">
        <is>
          <t>Read 2. Results: the strategy table, the $667 grid, and the guardrail. Audit any year on 3. Year by Year.</t>
        </is>
      </c>
      <c r="D15" s="2" t="n"/>
      <c r="E15" s="2" t="n"/>
      <c r="F15" s="2" t="n"/>
      <c r="G15" s="2" t="n"/>
    </row>
    <row r="16">
      <c r="A16" s="2" t="n"/>
      <c r="B16" s="2" t="n"/>
      <c r="C16" s="2" t="n"/>
      <c r="D16" s="2" t="n"/>
      <c r="E16" s="2" t="n"/>
      <c r="F16" s="2" t="n"/>
      <c r="G16" s="2" t="n"/>
    </row>
    <row r="17">
      <c r="A17" s="2" t="n"/>
      <c r="B17" s="8" t="inlineStr">
        <is>
          <t>HOW TO READ THE LABELS</t>
        </is>
      </c>
      <c r="C17" s="2" t="n"/>
      <c r="D17" s="2" t="n"/>
      <c r="E17" s="2" t="n"/>
      <c r="F17" s="2" t="n"/>
      <c r="G17" s="2" t="n"/>
    </row>
    <row r="18" ht="26" customHeight="1">
      <c r="A18" s="2" t="n"/>
      <c r="B18" s="11" t="inlineStr">
        <is>
          <t>FACT</t>
        </is>
      </c>
      <c r="C18" s="10" t="inlineStr">
        <is>
          <t>Verified 2026 rules — tax brackets, RMD table, claiming multipliers. Sources on the Sources tab.</t>
        </is>
      </c>
      <c r="D18" s="2" t="n"/>
      <c r="E18" s="2" t="n"/>
      <c r="F18" s="2" t="n"/>
      <c r="G18" s="2" t="n"/>
    </row>
    <row r="19" ht="26" customHeight="1">
      <c r="A19" s="2" t="n"/>
      <c r="B19" s="12" t="inlineStr">
        <is>
          <t>ASSUMPTION</t>
        </is>
      </c>
      <c r="C19" s="10" t="inlineStr">
        <is>
          <t>A modeling choice you can challenge — balances, spending, the stress sequence.</t>
        </is>
      </c>
      <c r="D19" s="2" t="n"/>
      <c r="E19" s="2" t="n"/>
      <c r="F19" s="2" t="n"/>
      <c r="G19" s="2" t="n"/>
    </row>
    <row r="20" ht="26" customHeight="1">
      <c r="A20" s="2" t="n"/>
      <c r="B20" s="13" t="inlineStr">
        <is>
          <t>MODEL OUTPUT</t>
        </is>
      </c>
      <c r="C20" s="10" t="inlineStr">
        <is>
          <t>What the engine computes from facts plus assumptions. Not a prediction.</t>
        </is>
      </c>
      <c r="D20" s="2" t="n"/>
      <c r="E20" s="2" t="n"/>
      <c r="F20" s="2" t="n"/>
      <c r="G20" s="2" t="n"/>
    </row>
    <row r="21" ht="26" customHeight="1">
      <c r="A21" s="2" t="n"/>
      <c r="B21" s="14" t="inlineStr">
        <is>
          <t>VERDICT</t>
        </is>
      </c>
      <c r="C21" s="10" t="inlineStr">
        <is>
          <t>An editorial judgment, clearly labeled as judgment.</t>
        </is>
      </c>
      <c r="D21" s="2" t="n"/>
      <c r="E21" s="2" t="n"/>
      <c r="F21" s="2" t="n"/>
      <c r="G21" s="2" t="n"/>
    </row>
    <row r="22">
      <c r="A22" s="2" t="n"/>
      <c r="B22" s="2" t="n"/>
      <c r="C22" s="2" t="n"/>
      <c r="D22" s="2" t="n"/>
      <c r="E22" s="2" t="n"/>
      <c r="F22" s="2" t="n"/>
      <c r="G22" s="2" t="n"/>
    </row>
    <row r="23">
      <c r="A23" s="2" t="n"/>
      <c r="B23" s="8" t="inlineStr">
        <is>
          <t>USING GOOGLE SHEETS?</t>
        </is>
      </c>
      <c r="C23" s="2" t="n"/>
      <c r="D23" s="2" t="n"/>
      <c r="E23" s="2" t="n"/>
      <c r="F23" s="2" t="n"/>
      <c r="G23" s="2" t="n"/>
    </row>
    <row r="24" ht="30" customHeight="1">
      <c r="A24" s="2" t="n"/>
      <c r="B24" s="15" t="inlineStr">
        <is>
          <t>Go to sheets.new → File → Import → Upload → choose this file → “Replace spreadsheet”. Every formula in this workbook uses the Sheets-compatible subset — no macros, no add-ins.</t>
        </is>
      </c>
      <c r="C24" s="2" t="n"/>
      <c r="D24" s="2" t="n"/>
      <c r="E24" s="2" t="n"/>
      <c r="F24" s="2" t="n"/>
      <c r="G24" s="2" t="n"/>
    </row>
    <row r="25">
      <c r="A25" s="2" t="n"/>
      <c r="B25" s="2" t="n"/>
      <c r="C25" s="2" t="n"/>
      <c r="D25" s="2" t="n"/>
      <c r="E25" s="2" t="n"/>
      <c r="F25" s="2" t="n"/>
      <c r="G25" s="2" t="n"/>
    </row>
    <row r="26" ht="40" customHeight="1">
      <c r="A26" s="2" t="n"/>
      <c r="B26" s="16" t="inlineStr">
        <is>
          <t>The example couple is a fictional composite. This workbook is education, not financial, tax, or investment advice. Model outputs are illustrations under stated assumptions, not forecasts. Federal tax only, 2026 rules held constant in real dollars.</t>
        </is>
      </c>
      <c r="C26" s="2" t="n"/>
      <c r="D26" s="2" t="n"/>
      <c r="E26" s="2" t="n"/>
      <c r="F26" s="2" t="n"/>
      <c r="G26" s="2" t="n"/>
    </row>
    <row r="27">
      <c r="A27" s="2" t="n"/>
      <c r="B27" s="2" t="n"/>
      <c r="C27" s="2" t="n"/>
      <c r="D27" s="2" t="n"/>
      <c r="E27" s="2" t="n"/>
      <c r="F27" s="2" t="n"/>
      <c r="G27" s="2" t="n"/>
    </row>
    <row r="28">
      <c r="A28" s="2" t="n"/>
      <c r="B28" s="8" t="inlineStr">
        <is>
          <t>Full method, receipts, and updates: moneyafterwork.org/model</t>
        </is>
      </c>
      <c r="C28" s="2" t="n"/>
      <c r="D28" s="2" t="n"/>
      <c r="E28" s="2" t="n"/>
      <c r="F28" s="2" t="n"/>
      <c r="G28" s="2" t="n"/>
    </row>
    <row r="29">
      <c r="A29" s="2" t="n"/>
      <c r="B29" s="2" t="n"/>
      <c r="C29" s="2" t="n"/>
      <c r="D29" s="2" t="n"/>
      <c r="E29" s="2" t="n"/>
      <c r="F29" s="2" t="n"/>
      <c r="G29" s="2" t="n"/>
    </row>
    <row r="30">
      <c r="A30" s="2" t="n"/>
      <c r="B30" s="2" t="n"/>
      <c r="C30" s="2" t="n"/>
      <c r="D30" s="2" t="n"/>
      <c r="E30" s="2" t="n"/>
      <c r="F30" s="2" t="n"/>
      <c r="G30" s="2" t="n"/>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0.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f>IF(AND(C2=1,Tables!$B$17="YES",A2&gt;0,E2&lt;Tables!$B$16),Tables!$B$15,0)</f>
        <v/>
      </c>
      <c r="G2">
        <f>IF(C2=0,0,Tables!$B$8-IF(B2&gt;=Tables!$B$7,Tables!$B$6,0)+IF(B2&lt;Tables!$B$27,Tables!$B$9,Tables!$B$10)-F2)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f>IF(AND(C3=1,Tables!$B$17="YES",A3&gt;0,E3&lt;Tables!$B$16),Tables!$B$15,0)</f>
        <v/>
      </c>
      <c r="G3">
        <f>IF(C3=0,0,Tables!$B$8-IF(B3&gt;=Tables!$B$7,Tables!$B$6,0)+IF(B3&lt;Tables!$B$27,Tables!$B$9,Tables!$B$10)-F3)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f>IF(AND(C4=1,Tables!$B$17="YES",A4&gt;0,E4&lt;Tables!$B$16),Tables!$B$15,0)</f>
        <v/>
      </c>
      <c r="G4">
        <f>IF(C4=0,0,Tables!$B$8-IF(B4&gt;=Tables!$B$7,Tables!$B$6,0)+IF(B4&lt;Tables!$B$27,Tables!$B$9,Tables!$B$10)-F4)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f>IF(AND(C5=1,Tables!$B$17="YES",A5&gt;0,E5&lt;Tables!$B$16),Tables!$B$15,0)</f>
        <v/>
      </c>
      <c r="G5">
        <f>IF(C5=0,0,Tables!$B$8-IF(B5&gt;=Tables!$B$7,Tables!$B$6,0)+IF(B5&lt;Tables!$B$27,Tables!$B$9,Tables!$B$10)-F5)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f>IF(AND(C6=1,Tables!$B$17="YES",A6&gt;0,E6&lt;Tables!$B$16),Tables!$B$15,0)</f>
        <v/>
      </c>
      <c r="G6">
        <f>IF(C6=0,0,Tables!$B$8-IF(B6&gt;=Tables!$B$7,Tables!$B$6,0)+IF(B6&lt;Tables!$B$27,Tables!$B$9,Tables!$B$10)-F6)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f>IF(AND(C7=1,Tables!$B$17="YES",A7&gt;0,E7&lt;Tables!$B$16),Tables!$B$15,0)</f>
        <v/>
      </c>
      <c r="G7">
        <f>IF(C7=0,0,Tables!$B$8-IF(B7&gt;=Tables!$B$7,Tables!$B$6,0)+IF(B7&lt;Tables!$B$27,Tables!$B$9,Tables!$B$10)-F7)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f>IF(AND(C8=1,Tables!$B$17="YES",A8&gt;0,E8&lt;Tables!$B$16),Tables!$B$15,0)</f>
        <v/>
      </c>
      <c r="G8">
        <f>IF(C8=0,0,Tables!$B$8-IF(B8&gt;=Tables!$B$7,Tables!$B$6,0)+IF(B8&lt;Tables!$B$27,Tables!$B$9,Tables!$B$10)-F8)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f>IF(AND(C9=1,Tables!$B$17="YES",A9&gt;0,E9&lt;Tables!$B$16),Tables!$B$15,0)</f>
        <v/>
      </c>
      <c r="G9">
        <f>IF(C9=0,0,Tables!$B$8-IF(B9&gt;=Tables!$B$7,Tables!$B$6,0)+IF(B9&lt;Tables!$B$27,Tables!$B$9,Tables!$B$10)-F9)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f>IF(AND(C10=1,Tables!$B$17="YES",A10&gt;0,E10&lt;Tables!$B$16),Tables!$B$15,0)</f>
        <v/>
      </c>
      <c r="G10">
        <f>IF(C10=0,0,Tables!$B$8-IF(B10&gt;=Tables!$B$7,Tables!$B$6,0)+IF(B10&lt;Tables!$B$27,Tables!$B$9,Tables!$B$10)-F10)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f>IF(AND(C11=1,Tables!$B$17="YES",A11&gt;0,E11&lt;Tables!$B$16),Tables!$B$15,0)</f>
        <v/>
      </c>
      <c r="G11">
        <f>IF(C11=0,0,Tables!$B$8-IF(B11&gt;=Tables!$B$7,Tables!$B$6,0)+IF(B11&lt;Tables!$B$27,Tables!$B$9,Tables!$B$10)-F11)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f>IF(AND(C12=1,Tables!$B$17="YES",A12&gt;0,E12&lt;Tables!$B$16),Tables!$B$15,0)</f>
        <v/>
      </c>
      <c r="G12">
        <f>IF(C12=0,0,Tables!$B$8-IF(B12&gt;=Tables!$B$7,Tables!$B$6,0)+IF(B12&lt;Tables!$B$27,Tables!$B$9,Tables!$B$10)-F12)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f>IF(AND(C13=1,Tables!$B$17="YES",A13&gt;0,E13&lt;Tables!$B$16),Tables!$B$15,0)</f>
        <v/>
      </c>
      <c r="G13">
        <f>IF(C13=0,0,Tables!$B$8-IF(B13&gt;=Tables!$B$7,Tables!$B$6,0)+IF(B13&lt;Tables!$B$27,Tables!$B$9,Tables!$B$10)-F13)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f>IF(AND(C14=1,Tables!$B$17="YES",A14&gt;0,E14&lt;Tables!$B$16),Tables!$B$15,0)</f>
        <v/>
      </c>
      <c r="G14">
        <f>IF(C14=0,0,Tables!$B$8-IF(B14&gt;=Tables!$B$7,Tables!$B$6,0)+IF(B14&lt;Tables!$B$27,Tables!$B$9,Tables!$B$10)-F14)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f>IF(AND(C15=1,Tables!$B$17="YES",A15&gt;0,E15&lt;Tables!$B$16),Tables!$B$15,0)</f>
        <v/>
      </c>
      <c r="G15">
        <f>IF(C15=0,0,Tables!$B$8-IF(B15&gt;=Tables!$B$7,Tables!$B$6,0)+IF(B15&lt;Tables!$B$27,Tables!$B$9,Tables!$B$10)-F15)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f>IF(AND(C16=1,Tables!$B$17="YES",A16&gt;0,E16&lt;Tables!$B$16),Tables!$B$15,0)</f>
        <v/>
      </c>
      <c r="G16">
        <f>IF(C16=0,0,Tables!$B$8-IF(B16&gt;=Tables!$B$7,Tables!$B$6,0)+IF(B16&lt;Tables!$B$27,Tables!$B$9,Tables!$B$10)-F16)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f>IF(AND(C17=1,Tables!$B$17="YES",A17&gt;0,E17&lt;Tables!$B$16),Tables!$B$15,0)</f>
        <v/>
      </c>
      <c r="G17">
        <f>IF(C17=0,0,Tables!$B$8-IF(B17&gt;=Tables!$B$7,Tables!$B$6,0)+IF(B17&lt;Tables!$B$27,Tables!$B$9,Tables!$B$10)-F17)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f>IF(AND(C18=1,Tables!$B$17="YES",A18&gt;0,E18&lt;Tables!$B$16),Tables!$B$15,0)</f>
        <v/>
      </c>
      <c r="G18">
        <f>IF(C18=0,0,Tables!$B$8-IF(B18&gt;=Tables!$B$7,Tables!$B$6,0)+IF(B18&lt;Tables!$B$27,Tables!$B$9,Tables!$B$10)-F18)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f>IF(AND(C19=1,Tables!$B$17="YES",A19&gt;0,E19&lt;Tables!$B$16),Tables!$B$15,0)</f>
        <v/>
      </c>
      <c r="G19">
        <f>IF(C19=0,0,Tables!$B$8-IF(B19&gt;=Tables!$B$7,Tables!$B$6,0)+IF(B19&lt;Tables!$B$27,Tables!$B$9,Tables!$B$10)-F19)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f>IF(AND(C20=1,Tables!$B$17="YES",A20&gt;0,E20&lt;Tables!$B$16),Tables!$B$15,0)</f>
        <v/>
      </c>
      <c r="G20">
        <f>IF(C20=0,0,Tables!$B$8-IF(B20&gt;=Tables!$B$7,Tables!$B$6,0)+IF(B20&lt;Tables!$B$27,Tables!$B$9,Tables!$B$10)-F20)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f>IF(AND(C21=1,Tables!$B$17="YES",A21&gt;0,E21&lt;Tables!$B$16),Tables!$B$15,0)</f>
        <v/>
      </c>
      <c r="G21">
        <f>IF(C21=0,0,Tables!$B$8-IF(B21&gt;=Tables!$B$7,Tables!$B$6,0)+IF(B21&lt;Tables!$B$27,Tables!$B$9,Tables!$B$10)-F21)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f>IF(AND(C22=1,Tables!$B$17="YES",A22&gt;0,E22&lt;Tables!$B$16),Tables!$B$15,0)</f>
        <v/>
      </c>
      <c r="G22">
        <f>IF(C22=0,0,Tables!$B$8-IF(B22&gt;=Tables!$B$7,Tables!$B$6,0)+IF(B22&lt;Tables!$B$27,Tables!$B$9,Tables!$B$10)-F22)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f>IF(AND(C23=1,Tables!$B$17="YES",A23&gt;0,E23&lt;Tables!$B$16),Tables!$B$15,0)</f>
        <v/>
      </c>
      <c r="G23">
        <f>IF(C23=0,0,Tables!$B$8-IF(B23&gt;=Tables!$B$7,Tables!$B$6,0)+IF(B23&lt;Tables!$B$27,Tables!$B$9,Tables!$B$10)-F23)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f>IF(AND(C24=1,Tables!$B$17="YES",A24&gt;0,E24&lt;Tables!$B$16),Tables!$B$15,0)</f>
        <v/>
      </c>
      <c r="G24">
        <f>IF(C24=0,0,Tables!$B$8-IF(B24&gt;=Tables!$B$7,Tables!$B$6,0)+IF(B24&lt;Tables!$B$27,Tables!$B$9,Tables!$B$10)-F24)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f>IF(AND(C25=1,Tables!$B$17="YES",A25&gt;0,E25&lt;Tables!$B$16),Tables!$B$15,0)</f>
        <v/>
      </c>
      <c r="G25">
        <f>IF(C25=0,0,Tables!$B$8-IF(B25&gt;=Tables!$B$7,Tables!$B$6,0)+IF(B25&lt;Tables!$B$27,Tables!$B$9,Tables!$B$10)-F25)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f>IF(AND(C26=1,Tables!$B$17="YES",A26&gt;0,E26&lt;Tables!$B$16),Tables!$B$15,0)</f>
        <v/>
      </c>
      <c r="G26">
        <f>IF(C26=0,0,Tables!$B$8-IF(B26&gt;=Tables!$B$7,Tables!$B$6,0)+IF(B26&lt;Tables!$B$27,Tables!$B$9,Tables!$B$10)-F26)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f>IF(AND(C27=1,Tables!$B$17="YES",A27&gt;0,E27&lt;Tables!$B$16),Tables!$B$15,0)</f>
        <v/>
      </c>
      <c r="G27">
        <f>IF(C27=0,0,Tables!$B$8-IF(B27&gt;=Tables!$B$7,Tables!$B$6,0)+IF(B27&lt;Tables!$B$27,Tables!$B$9,Tables!$B$10)-F27)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f>IF(AND(C28=1,Tables!$B$17="YES",A28&gt;0,E28&lt;Tables!$B$16),Tables!$B$15,0)</f>
        <v/>
      </c>
      <c r="G28">
        <f>IF(C28=0,0,Tables!$B$8-IF(B28&gt;=Tables!$B$7,Tables!$B$6,0)+IF(B28&lt;Tables!$B$27,Tables!$B$9,Tables!$B$10)-F28)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f>IF(AND(C29=1,Tables!$B$17="YES",A29&gt;0,E29&lt;Tables!$B$16),Tables!$B$15,0)</f>
        <v/>
      </c>
      <c r="G29">
        <f>IF(C29=0,0,Tables!$B$8-IF(B29&gt;=Tables!$B$7,Tables!$B$6,0)+IF(B29&lt;Tables!$B$27,Tables!$B$9,Tables!$B$10)-F29)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f>IF(AND(C30=1,Tables!$B$17="YES",A30&gt;0,E30&lt;Tables!$B$16),Tables!$B$15,0)</f>
        <v/>
      </c>
      <c r="G30">
        <f>IF(C30=0,0,Tables!$B$8-IF(B30&gt;=Tables!$B$7,Tables!$B$6,0)+IF(B30&lt;Tables!$B$27,Tables!$B$9,Tables!$B$10)-F30)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f>IF(AND(C31=1,Tables!$B$17="YES",A31&gt;0,E31&lt;Tables!$B$16),Tables!$B$15,0)</f>
        <v/>
      </c>
      <c r="G31">
        <f>IF(C31=0,0,Tables!$B$8-IF(B31&gt;=Tables!$B$7,Tables!$B$6,0)+IF(B31&lt;Tables!$B$27,Tables!$B$9,Tables!$B$10)-F31)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f>IF(AND(C32=1,Tables!$B$17="YES",A32&gt;0,E32&lt;Tables!$B$16),Tables!$B$15,0)</f>
        <v/>
      </c>
      <c r="G32">
        <f>IF(C32=0,0,Tables!$B$8-IF(B32&gt;=Tables!$B$7,Tables!$B$6,0)+IF(B32&lt;Tables!$B$27,Tables!$B$9,Tables!$B$10)-F32)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f>IF(AND(C33=1,Tables!$B$17="YES",A33&gt;0,E33&lt;Tables!$B$16),Tables!$B$15,0)</f>
        <v/>
      </c>
      <c r="G33">
        <f>IF(C33=0,0,Tables!$B$8-IF(B33&gt;=Tables!$B$7,Tables!$B$6,0)+IF(B33&lt;Tables!$B$27,Tables!$B$9,Tables!$B$10)-F33)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f>IF(AND(C34=1,Tables!$B$17="YES",A34&gt;0,E34&lt;Tables!$B$16),Tables!$B$15,0)</f>
        <v/>
      </c>
      <c r="G34">
        <f>IF(C34=0,0,Tables!$B$8-IF(B34&gt;=Tables!$B$7,Tables!$B$6,0)+IF(B34&lt;Tables!$B$27,Tables!$B$9,Tables!$B$10)-F34)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f>IF(AND(C35=1,Tables!$B$17="YES",A35&gt;0,E35&lt;Tables!$B$16),Tables!$B$15,0)</f>
        <v/>
      </c>
      <c r="G35">
        <f>IF(C35=0,0,Tables!$B$8-IF(B35&gt;=Tables!$B$7,Tables!$B$6,0)+IF(B35&lt;Tables!$B$27,Tables!$B$9,Tables!$B$10)-F35)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f>IF(AND(C36=1,Tables!$B$17="YES",A36&gt;0,E36&lt;Tables!$B$16),Tables!$B$15,0)</f>
        <v/>
      </c>
      <c r="G36">
        <f>IF(C36=0,0,Tables!$B$8-IF(B36&gt;=Tables!$B$7,Tables!$B$6,0)+IF(B36&lt;Tables!$B$27,Tables!$B$9,Tables!$B$10)-F36)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f>IF(AND(C37=1,Tables!$B$17="YES",A37&gt;0,E37&lt;Tables!$B$16),Tables!$B$15,0)</f>
        <v/>
      </c>
      <c r="G37">
        <f>IF(C37=0,0,Tables!$B$8-IF(B37&gt;=Tables!$B$7,Tables!$B$6,0)+IF(B37&lt;Tables!$B$27,Tables!$B$9,Tables!$B$10)-F37)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f>IF(AND(C38=1,Tables!$B$17="YES",A38&gt;0,E38&lt;Tables!$B$16),Tables!$B$15,0)</f>
        <v/>
      </c>
      <c r="G38">
        <f>IF(C38=0,0,Tables!$B$8-IF(B38&gt;=Tables!$B$7,Tables!$B$6,0)+IF(B38&lt;Tables!$B$27,Tables!$B$9,Tables!$B$10)-F38)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f>IF(AND(C39=1,Tables!$B$17="YES",A39&gt;0,E39&lt;Tables!$B$16),Tables!$B$15,0)</f>
        <v/>
      </c>
      <c r="G39">
        <f>IF(C39=0,0,Tables!$B$8-IF(B39&gt;=Tables!$B$7,Tables!$B$6,0)+IF(B39&lt;Tables!$B$27,Tables!$B$9,Tables!$B$10)-F39)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f>IF(AND(C40=1,Tables!$B$17="YES",A40&gt;0,E40&lt;Tables!$B$16),Tables!$B$15,0)</f>
        <v/>
      </c>
      <c r="G40">
        <f>IF(C40=0,0,Tables!$B$8-IF(B40&gt;=Tables!$B$7,Tables!$B$6,0)+IF(B40&lt;Tables!$B$27,Tables!$B$9,Tables!$B$10)-F40)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f>IF(AND(C41=1,Tables!$B$17="YES",A41&gt;0,E41&lt;Tables!$B$16),Tables!$B$15,0)</f>
        <v/>
      </c>
      <c r="G41">
        <f>IF(C41=0,0,Tables!$B$8-IF(B41&gt;=Tables!$B$7,Tables!$B$6,0)+IF(B41&lt;Tables!$B$27,Tables!$B$9,Tables!$B$10)-F41)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f>IF(AND(C42=1,Tables!$B$17="YES",A42&gt;0,E42&lt;Tables!$B$16),Tables!$B$15,0)</f>
        <v/>
      </c>
      <c r="G42">
        <f>IF(C42=0,0,Tables!$B$8-IF(B42&gt;=Tables!$B$7,Tables!$B$6,0)+IF(B42&lt;Tables!$B$27,Tables!$B$9,Tables!$B$10)-F42)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1.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INDEX(Tables!$B$83:$B$123,A2+1)</f>
        <v/>
      </c>
      <c r="E2">
        <f>IF(A2=0,0,INDEX(Tables!$B$83:$B$123,A2))</f>
        <v/>
      </c>
      <c r="F2">
        <f>IF(AND(C2=1,Tables!$B$17="YES",A2&gt;0,E2&lt;Tables!$B$16),Tables!$B$15,0)</f>
        <v/>
      </c>
      <c r="G2">
        <f>IF(C2=0,0,Tables!$B$8-IF(B2&gt;=Tables!$B$7,Tables!$B$6,0)+IF(B2&lt;Tables!$B$27,Tables!$B$9,Tables!$B$10)-F2)</f>
        <v/>
      </c>
      <c r="H2">
        <f>IF(C2=0,0,IF(B2&gt;=Tables!$B$79,Tables!$D$79,0)+IF(B2&gt;=Tables!$C$79,Tables!$E$79,0))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INDEX(Tables!$B$83:$B$123,A3+1)</f>
        <v/>
      </c>
      <c r="E3">
        <f>IF(A3=0,0,INDEX(Tables!$B$83:$B$123,A3))</f>
        <v/>
      </c>
      <c r="F3">
        <f>IF(AND(C3=1,Tables!$B$17="YES",A3&gt;0,E3&lt;Tables!$B$16),Tables!$B$15,0)</f>
        <v/>
      </c>
      <c r="G3">
        <f>IF(C3=0,0,Tables!$B$8-IF(B3&gt;=Tables!$B$7,Tables!$B$6,0)+IF(B3&lt;Tables!$B$27,Tables!$B$9,Tables!$B$10)-F3)</f>
        <v/>
      </c>
      <c r="H3">
        <f>IF(C3=0,0,IF(B3&gt;=Tables!$B$79,Tables!$D$79,0)+IF(B3&gt;=Tables!$C$79,Tables!$E$79,0))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INDEX(Tables!$B$83:$B$123,A4+1)</f>
        <v/>
      </c>
      <c r="E4">
        <f>IF(A4=0,0,INDEX(Tables!$B$83:$B$123,A4))</f>
        <v/>
      </c>
      <c r="F4">
        <f>IF(AND(C4=1,Tables!$B$17="YES",A4&gt;0,E4&lt;Tables!$B$16),Tables!$B$15,0)</f>
        <v/>
      </c>
      <c r="G4">
        <f>IF(C4=0,0,Tables!$B$8-IF(B4&gt;=Tables!$B$7,Tables!$B$6,0)+IF(B4&lt;Tables!$B$27,Tables!$B$9,Tables!$B$10)-F4)</f>
        <v/>
      </c>
      <c r="H4">
        <f>IF(C4=0,0,IF(B4&gt;=Tables!$B$79,Tables!$D$79,0)+IF(B4&gt;=Tables!$C$79,Tables!$E$79,0))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INDEX(Tables!$B$83:$B$123,A5+1)</f>
        <v/>
      </c>
      <c r="E5">
        <f>IF(A5=0,0,INDEX(Tables!$B$83:$B$123,A5))</f>
        <v/>
      </c>
      <c r="F5">
        <f>IF(AND(C5=1,Tables!$B$17="YES",A5&gt;0,E5&lt;Tables!$B$16),Tables!$B$15,0)</f>
        <v/>
      </c>
      <c r="G5">
        <f>IF(C5=0,0,Tables!$B$8-IF(B5&gt;=Tables!$B$7,Tables!$B$6,0)+IF(B5&lt;Tables!$B$27,Tables!$B$9,Tables!$B$10)-F5)</f>
        <v/>
      </c>
      <c r="H5">
        <f>IF(C5=0,0,IF(B5&gt;=Tables!$B$79,Tables!$D$79,0)+IF(B5&gt;=Tables!$C$79,Tables!$E$79,0))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INDEX(Tables!$B$83:$B$123,A6+1)</f>
        <v/>
      </c>
      <c r="E6">
        <f>IF(A6=0,0,INDEX(Tables!$B$83:$B$123,A6))</f>
        <v/>
      </c>
      <c r="F6">
        <f>IF(AND(C6=1,Tables!$B$17="YES",A6&gt;0,E6&lt;Tables!$B$16),Tables!$B$15,0)</f>
        <v/>
      </c>
      <c r="G6">
        <f>IF(C6=0,0,Tables!$B$8-IF(B6&gt;=Tables!$B$7,Tables!$B$6,0)+IF(B6&lt;Tables!$B$27,Tables!$B$9,Tables!$B$10)-F6)</f>
        <v/>
      </c>
      <c r="H6">
        <f>IF(C6=0,0,IF(B6&gt;=Tables!$B$79,Tables!$D$79,0)+IF(B6&gt;=Tables!$C$79,Tables!$E$79,0))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INDEX(Tables!$B$83:$B$123,A7+1)</f>
        <v/>
      </c>
      <c r="E7">
        <f>IF(A7=0,0,INDEX(Tables!$B$83:$B$123,A7))</f>
        <v/>
      </c>
      <c r="F7">
        <f>IF(AND(C7=1,Tables!$B$17="YES",A7&gt;0,E7&lt;Tables!$B$16),Tables!$B$15,0)</f>
        <v/>
      </c>
      <c r="G7">
        <f>IF(C7=0,0,Tables!$B$8-IF(B7&gt;=Tables!$B$7,Tables!$B$6,0)+IF(B7&lt;Tables!$B$27,Tables!$B$9,Tables!$B$10)-F7)</f>
        <v/>
      </c>
      <c r="H7">
        <f>IF(C7=0,0,IF(B7&gt;=Tables!$B$79,Tables!$D$79,0)+IF(B7&gt;=Tables!$C$79,Tables!$E$79,0))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INDEX(Tables!$B$83:$B$123,A8+1)</f>
        <v/>
      </c>
      <c r="E8">
        <f>IF(A8=0,0,INDEX(Tables!$B$83:$B$123,A8))</f>
        <v/>
      </c>
      <c r="F8">
        <f>IF(AND(C8=1,Tables!$B$17="YES",A8&gt;0,E8&lt;Tables!$B$16),Tables!$B$15,0)</f>
        <v/>
      </c>
      <c r="G8">
        <f>IF(C8=0,0,Tables!$B$8-IF(B8&gt;=Tables!$B$7,Tables!$B$6,0)+IF(B8&lt;Tables!$B$27,Tables!$B$9,Tables!$B$10)-F8)</f>
        <v/>
      </c>
      <c r="H8">
        <f>IF(C8=0,0,IF(B8&gt;=Tables!$B$79,Tables!$D$79,0)+IF(B8&gt;=Tables!$C$79,Tables!$E$79,0))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INDEX(Tables!$B$83:$B$123,A9+1)</f>
        <v/>
      </c>
      <c r="E9">
        <f>IF(A9=0,0,INDEX(Tables!$B$83:$B$123,A9))</f>
        <v/>
      </c>
      <c r="F9">
        <f>IF(AND(C9=1,Tables!$B$17="YES",A9&gt;0,E9&lt;Tables!$B$16),Tables!$B$15,0)</f>
        <v/>
      </c>
      <c r="G9">
        <f>IF(C9=0,0,Tables!$B$8-IF(B9&gt;=Tables!$B$7,Tables!$B$6,0)+IF(B9&lt;Tables!$B$27,Tables!$B$9,Tables!$B$10)-F9)</f>
        <v/>
      </c>
      <c r="H9">
        <f>IF(C9=0,0,IF(B9&gt;=Tables!$B$79,Tables!$D$79,0)+IF(B9&gt;=Tables!$C$79,Tables!$E$79,0))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INDEX(Tables!$B$83:$B$123,A10+1)</f>
        <v/>
      </c>
      <c r="E10">
        <f>IF(A10=0,0,INDEX(Tables!$B$83:$B$123,A10))</f>
        <v/>
      </c>
      <c r="F10">
        <f>IF(AND(C10=1,Tables!$B$17="YES",A10&gt;0,E10&lt;Tables!$B$16),Tables!$B$15,0)</f>
        <v/>
      </c>
      <c r="G10">
        <f>IF(C10=0,0,Tables!$B$8-IF(B10&gt;=Tables!$B$7,Tables!$B$6,0)+IF(B10&lt;Tables!$B$27,Tables!$B$9,Tables!$B$10)-F10)</f>
        <v/>
      </c>
      <c r="H10">
        <f>IF(C10=0,0,IF(B10&gt;=Tables!$B$79,Tables!$D$79,0)+IF(B10&gt;=Tables!$C$79,Tables!$E$79,0))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INDEX(Tables!$B$83:$B$123,A11+1)</f>
        <v/>
      </c>
      <c r="E11">
        <f>IF(A11=0,0,INDEX(Tables!$B$83:$B$123,A11))</f>
        <v/>
      </c>
      <c r="F11">
        <f>IF(AND(C11=1,Tables!$B$17="YES",A11&gt;0,E11&lt;Tables!$B$16),Tables!$B$15,0)</f>
        <v/>
      </c>
      <c r="G11">
        <f>IF(C11=0,0,Tables!$B$8-IF(B11&gt;=Tables!$B$7,Tables!$B$6,0)+IF(B11&lt;Tables!$B$27,Tables!$B$9,Tables!$B$10)-F11)</f>
        <v/>
      </c>
      <c r="H11">
        <f>IF(C11=0,0,IF(B11&gt;=Tables!$B$79,Tables!$D$79,0)+IF(B11&gt;=Tables!$C$79,Tables!$E$79,0))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INDEX(Tables!$B$83:$B$123,A12+1)</f>
        <v/>
      </c>
      <c r="E12">
        <f>IF(A12=0,0,INDEX(Tables!$B$83:$B$123,A12))</f>
        <v/>
      </c>
      <c r="F12">
        <f>IF(AND(C12=1,Tables!$B$17="YES",A12&gt;0,E12&lt;Tables!$B$16),Tables!$B$15,0)</f>
        <v/>
      </c>
      <c r="G12">
        <f>IF(C12=0,0,Tables!$B$8-IF(B12&gt;=Tables!$B$7,Tables!$B$6,0)+IF(B12&lt;Tables!$B$27,Tables!$B$9,Tables!$B$10)-F12)</f>
        <v/>
      </c>
      <c r="H12">
        <f>IF(C12=0,0,IF(B12&gt;=Tables!$B$79,Tables!$D$79,0)+IF(B12&gt;=Tables!$C$79,Tables!$E$79,0))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INDEX(Tables!$B$83:$B$123,A13+1)</f>
        <v/>
      </c>
      <c r="E13">
        <f>IF(A13=0,0,INDEX(Tables!$B$83:$B$123,A13))</f>
        <v/>
      </c>
      <c r="F13">
        <f>IF(AND(C13=1,Tables!$B$17="YES",A13&gt;0,E13&lt;Tables!$B$16),Tables!$B$15,0)</f>
        <v/>
      </c>
      <c r="G13">
        <f>IF(C13=0,0,Tables!$B$8-IF(B13&gt;=Tables!$B$7,Tables!$B$6,0)+IF(B13&lt;Tables!$B$27,Tables!$B$9,Tables!$B$10)-F13)</f>
        <v/>
      </c>
      <c r="H13">
        <f>IF(C13=0,0,IF(B13&gt;=Tables!$B$79,Tables!$D$79,0)+IF(B13&gt;=Tables!$C$79,Tables!$E$79,0))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INDEX(Tables!$B$83:$B$123,A14+1)</f>
        <v/>
      </c>
      <c r="E14">
        <f>IF(A14=0,0,INDEX(Tables!$B$83:$B$123,A14))</f>
        <v/>
      </c>
      <c r="F14">
        <f>IF(AND(C14=1,Tables!$B$17="YES",A14&gt;0,E14&lt;Tables!$B$16),Tables!$B$15,0)</f>
        <v/>
      </c>
      <c r="G14">
        <f>IF(C14=0,0,Tables!$B$8-IF(B14&gt;=Tables!$B$7,Tables!$B$6,0)+IF(B14&lt;Tables!$B$27,Tables!$B$9,Tables!$B$10)-F14)</f>
        <v/>
      </c>
      <c r="H14">
        <f>IF(C14=0,0,IF(B14&gt;=Tables!$B$79,Tables!$D$79,0)+IF(B14&gt;=Tables!$C$79,Tables!$E$79,0))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INDEX(Tables!$B$83:$B$123,A15+1)</f>
        <v/>
      </c>
      <c r="E15">
        <f>IF(A15=0,0,INDEX(Tables!$B$83:$B$123,A15))</f>
        <v/>
      </c>
      <c r="F15">
        <f>IF(AND(C15=1,Tables!$B$17="YES",A15&gt;0,E15&lt;Tables!$B$16),Tables!$B$15,0)</f>
        <v/>
      </c>
      <c r="G15">
        <f>IF(C15=0,0,Tables!$B$8-IF(B15&gt;=Tables!$B$7,Tables!$B$6,0)+IF(B15&lt;Tables!$B$27,Tables!$B$9,Tables!$B$10)-F15)</f>
        <v/>
      </c>
      <c r="H15">
        <f>IF(C15=0,0,IF(B15&gt;=Tables!$B$79,Tables!$D$79,0)+IF(B15&gt;=Tables!$C$79,Tables!$E$79,0))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INDEX(Tables!$B$83:$B$123,A16+1)</f>
        <v/>
      </c>
      <c r="E16">
        <f>IF(A16=0,0,INDEX(Tables!$B$83:$B$123,A16))</f>
        <v/>
      </c>
      <c r="F16">
        <f>IF(AND(C16=1,Tables!$B$17="YES",A16&gt;0,E16&lt;Tables!$B$16),Tables!$B$15,0)</f>
        <v/>
      </c>
      <c r="G16">
        <f>IF(C16=0,0,Tables!$B$8-IF(B16&gt;=Tables!$B$7,Tables!$B$6,0)+IF(B16&lt;Tables!$B$27,Tables!$B$9,Tables!$B$10)-F16)</f>
        <v/>
      </c>
      <c r="H16">
        <f>IF(C16=0,0,IF(B16&gt;=Tables!$B$79,Tables!$D$79,0)+IF(B16&gt;=Tables!$C$79,Tables!$E$79,0))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INDEX(Tables!$B$83:$B$123,A17+1)</f>
        <v/>
      </c>
      <c r="E17">
        <f>IF(A17=0,0,INDEX(Tables!$B$83:$B$123,A17))</f>
        <v/>
      </c>
      <c r="F17">
        <f>IF(AND(C17=1,Tables!$B$17="YES",A17&gt;0,E17&lt;Tables!$B$16),Tables!$B$15,0)</f>
        <v/>
      </c>
      <c r="G17">
        <f>IF(C17=0,0,Tables!$B$8-IF(B17&gt;=Tables!$B$7,Tables!$B$6,0)+IF(B17&lt;Tables!$B$27,Tables!$B$9,Tables!$B$10)-F17)</f>
        <v/>
      </c>
      <c r="H17">
        <f>IF(C17=0,0,IF(B17&gt;=Tables!$B$79,Tables!$D$79,0)+IF(B17&gt;=Tables!$C$79,Tables!$E$79,0))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INDEX(Tables!$B$83:$B$123,A18+1)</f>
        <v/>
      </c>
      <c r="E18">
        <f>IF(A18=0,0,INDEX(Tables!$B$83:$B$123,A18))</f>
        <v/>
      </c>
      <c r="F18">
        <f>IF(AND(C18=1,Tables!$B$17="YES",A18&gt;0,E18&lt;Tables!$B$16),Tables!$B$15,0)</f>
        <v/>
      </c>
      <c r="G18">
        <f>IF(C18=0,0,Tables!$B$8-IF(B18&gt;=Tables!$B$7,Tables!$B$6,0)+IF(B18&lt;Tables!$B$27,Tables!$B$9,Tables!$B$10)-F18)</f>
        <v/>
      </c>
      <c r="H18">
        <f>IF(C18=0,0,IF(B18&gt;=Tables!$B$79,Tables!$D$79,0)+IF(B18&gt;=Tables!$C$79,Tables!$E$79,0))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INDEX(Tables!$B$83:$B$123,A19+1)</f>
        <v/>
      </c>
      <c r="E19">
        <f>IF(A19=0,0,INDEX(Tables!$B$83:$B$123,A19))</f>
        <v/>
      </c>
      <c r="F19">
        <f>IF(AND(C19=1,Tables!$B$17="YES",A19&gt;0,E19&lt;Tables!$B$16),Tables!$B$15,0)</f>
        <v/>
      </c>
      <c r="G19">
        <f>IF(C19=0,0,Tables!$B$8-IF(B19&gt;=Tables!$B$7,Tables!$B$6,0)+IF(B19&lt;Tables!$B$27,Tables!$B$9,Tables!$B$10)-F19)</f>
        <v/>
      </c>
      <c r="H19">
        <f>IF(C19=0,0,IF(B19&gt;=Tables!$B$79,Tables!$D$79,0)+IF(B19&gt;=Tables!$C$79,Tables!$E$79,0))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INDEX(Tables!$B$83:$B$123,A20+1)</f>
        <v/>
      </c>
      <c r="E20">
        <f>IF(A20=0,0,INDEX(Tables!$B$83:$B$123,A20))</f>
        <v/>
      </c>
      <c r="F20">
        <f>IF(AND(C20=1,Tables!$B$17="YES",A20&gt;0,E20&lt;Tables!$B$16),Tables!$B$15,0)</f>
        <v/>
      </c>
      <c r="G20">
        <f>IF(C20=0,0,Tables!$B$8-IF(B20&gt;=Tables!$B$7,Tables!$B$6,0)+IF(B20&lt;Tables!$B$27,Tables!$B$9,Tables!$B$10)-F20)</f>
        <v/>
      </c>
      <c r="H20">
        <f>IF(C20=0,0,IF(B20&gt;=Tables!$B$79,Tables!$D$79,0)+IF(B20&gt;=Tables!$C$79,Tables!$E$79,0))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INDEX(Tables!$B$83:$B$123,A21+1)</f>
        <v/>
      </c>
      <c r="E21">
        <f>IF(A21=0,0,INDEX(Tables!$B$83:$B$123,A21))</f>
        <v/>
      </c>
      <c r="F21">
        <f>IF(AND(C21=1,Tables!$B$17="YES",A21&gt;0,E21&lt;Tables!$B$16),Tables!$B$15,0)</f>
        <v/>
      </c>
      <c r="G21">
        <f>IF(C21=0,0,Tables!$B$8-IF(B21&gt;=Tables!$B$7,Tables!$B$6,0)+IF(B21&lt;Tables!$B$27,Tables!$B$9,Tables!$B$10)-F21)</f>
        <v/>
      </c>
      <c r="H21">
        <f>IF(C21=0,0,IF(B21&gt;=Tables!$B$79,Tables!$D$79,0)+IF(B21&gt;=Tables!$C$79,Tables!$E$79,0))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INDEX(Tables!$B$83:$B$123,A22+1)</f>
        <v/>
      </c>
      <c r="E22">
        <f>IF(A22=0,0,INDEX(Tables!$B$83:$B$123,A22))</f>
        <v/>
      </c>
      <c r="F22">
        <f>IF(AND(C22=1,Tables!$B$17="YES",A22&gt;0,E22&lt;Tables!$B$16),Tables!$B$15,0)</f>
        <v/>
      </c>
      <c r="G22">
        <f>IF(C22=0,0,Tables!$B$8-IF(B22&gt;=Tables!$B$7,Tables!$B$6,0)+IF(B22&lt;Tables!$B$27,Tables!$B$9,Tables!$B$10)-F22)</f>
        <v/>
      </c>
      <c r="H22">
        <f>IF(C22=0,0,IF(B22&gt;=Tables!$B$79,Tables!$D$79,0)+IF(B22&gt;=Tables!$C$79,Tables!$E$79,0))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INDEX(Tables!$B$83:$B$123,A23+1)</f>
        <v/>
      </c>
      <c r="E23">
        <f>IF(A23=0,0,INDEX(Tables!$B$83:$B$123,A23))</f>
        <v/>
      </c>
      <c r="F23">
        <f>IF(AND(C23=1,Tables!$B$17="YES",A23&gt;0,E23&lt;Tables!$B$16),Tables!$B$15,0)</f>
        <v/>
      </c>
      <c r="G23">
        <f>IF(C23=0,0,Tables!$B$8-IF(B23&gt;=Tables!$B$7,Tables!$B$6,0)+IF(B23&lt;Tables!$B$27,Tables!$B$9,Tables!$B$10)-F23)</f>
        <v/>
      </c>
      <c r="H23">
        <f>IF(C23=0,0,IF(B23&gt;=Tables!$B$79,Tables!$D$79,0)+IF(B23&gt;=Tables!$C$79,Tables!$E$79,0))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INDEX(Tables!$B$83:$B$123,A24+1)</f>
        <v/>
      </c>
      <c r="E24">
        <f>IF(A24=0,0,INDEX(Tables!$B$83:$B$123,A24))</f>
        <v/>
      </c>
      <c r="F24">
        <f>IF(AND(C24=1,Tables!$B$17="YES",A24&gt;0,E24&lt;Tables!$B$16),Tables!$B$15,0)</f>
        <v/>
      </c>
      <c r="G24">
        <f>IF(C24=0,0,Tables!$B$8-IF(B24&gt;=Tables!$B$7,Tables!$B$6,0)+IF(B24&lt;Tables!$B$27,Tables!$B$9,Tables!$B$10)-F24)</f>
        <v/>
      </c>
      <c r="H24">
        <f>IF(C24=0,0,IF(B24&gt;=Tables!$B$79,Tables!$D$79,0)+IF(B24&gt;=Tables!$C$79,Tables!$E$79,0))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INDEX(Tables!$B$83:$B$123,A25+1)</f>
        <v/>
      </c>
      <c r="E25">
        <f>IF(A25=0,0,INDEX(Tables!$B$83:$B$123,A25))</f>
        <v/>
      </c>
      <c r="F25">
        <f>IF(AND(C25=1,Tables!$B$17="YES",A25&gt;0,E25&lt;Tables!$B$16),Tables!$B$15,0)</f>
        <v/>
      </c>
      <c r="G25">
        <f>IF(C25=0,0,Tables!$B$8-IF(B25&gt;=Tables!$B$7,Tables!$B$6,0)+IF(B25&lt;Tables!$B$27,Tables!$B$9,Tables!$B$10)-F25)</f>
        <v/>
      </c>
      <c r="H25">
        <f>IF(C25=0,0,IF(B25&gt;=Tables!$B$79,Tables!$D$79,0)+IF(B25&gt;=Tables!$C$79,Tables!$E$79,0))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INDEX(Tables!$B$83:$B$123,A26+1)</f>
        <v/>
      </c>
      <c r="E26">
        <f>IF(A26=0,0,INDEX(Tables!$B$83:$B$123,A26))</f>
        <v/>
      </c>
      <c r="F26">
        <f>IF(AND(C26=1,Tables!$B$17="YES",A26&gt;0,E26&lt;Tables!$B$16),Tables!$B$15,0)</f>
        <v/>
      </c>
      <c r="G26">
        <f>IF(C26=0,0,Tables!$B$8-IF(B26&gt;=Tables!$B$7,Tables!$B$6,0)+IF(B26&lt;Tables!$B$27,Tables!$B$9,Tables!$B$10)-F26)</f>
        <v/>
      </c>
      <c r="H26">
        <f>IF(C26=0,0,IF(B26&gt;=Tables!$B$79,Tables!$D$79,0)+IF(B26&gt;=Tables!$C$79,Tables!$E$79,0))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INDEX(Tables!$B$83:$B$123,A27+1)</f>
        <v/>
      </c>
      <c r="E27">
        <f>IF(A27=0,0,INDEX(Tables!$B$83:$B$123,A27))</f>
        <v/>
      </c>
      <c r="F27">
        <f>IF(AND(C27=1,Tables!$B$17="YES",A27&gt;0,E27&lt;Tables!$B$16),Tables!$B$15,0)</f>
        <v/>
      </c>
      <c r="G27">
        <f>IF(C27=0,0,Tables!$B$8-IF(B27&gt;=Tables!$B$7,Tables!$B$6,0)+IF(B27&lt;Tables!$B$27,Tables!$B$9,Tables!$B$10)-F27)</f>
        <v/>
      </c>
      <c r="H27">
        <f>IF(C27=0,0,IF(B27&gt;=Tables!$B$79,Tables!$D$79,0)+IF(B27&gt;=Tables!$C$79,Tables!$E$79,0))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INDEX(Tables!$B$83:$B$123,A28+1)</f>
        <v/>
      </c>
      <c r="E28">
        <f>IF(A28=0,0,INDEX(Tables!$B$83:$B$123,A28))</f>
        <v/>
      </c>
      <c r="F28">
        <f>IF(AND(C28=1,Tables!$B$17="YES",A28&gt;0,E28&lt;Tables!$B$16),Tables!$B$15,0)</f>
        <v/>
      </c>
      <c r="G28">
        <f>IF(C28=0,0,Tables!$B$8-IF(B28&gt;=Tables!$B$7,Tables!$B$6,0)+IF(B28&lt;Tables!$B$27,Tables!$B$9,Tables!$B$10)-F28)</f>
        <v/>
      </c>
      <c r="H28">
        <f>IF(C28=0,0,IF(B28&gt;=Tables!$B$79,Tables!$D$79,0)+IF(B28&gt;=Tables!$C$79,Tables!$E$79,0))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INDEX(Tables!$B$83:$B$123,A29+1)</f>
        <v/>
      </c>
      <c r="E29">
        <f>IF(A29=0,0,INDEX(Tables!$B$83:$B$123,A29))</f>
        <v/>
      </c>
      <c r="F29">
        <f>IF(AND(C29=1,Tables!$B$17="YES",A29&gt;0,E29&lt;Tables!$B$16),Tables!$B$15,0)</f>
        <v/>
      </c>
      <c r="G29">
        <f>IF(C29=0,0,Tables!$B$8-IF(B29&gt;=Tables!$B$7,Tables!$B$6,0)+IF(B29&lt;Tables!$B$27,Tables!$B$9,Tables!$B$10)-F29)</f>
        <v/>
      </c>
      <c r="H29">
        <f>IF(C29=0,0,IF(B29&gt;=Tables!$B$79,Tables!$D$79,0)+IF(B29&gt;=Tables!$C$79,Tables!$E$79,0))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INDEX(Tables!$B$83:$B$123,A30+1)</f>
        <v/>
      </c>
      <c r="E30">
        <f>IF(A30=0,0,INDEX(Tables!$B$83:$B$123,A30))</f>
        <v/>
      </c>
      <c r="F30">
        <f>IF(AND(C30=1,Tables!$B$17="YES",A30&gt;0,E30&lt;Tables!$B$16),Tables!$B$15,0)</f>
        <v/>
      </c>
      <c r="G30">
        <f>IF(C30=0,0,Tables!$B$8-IF(B30&gt;=Tables!$B$7,Tables!$B$6,0)+IF(B30&lt;Tables!$B$27,Tables!$B$9,Tables!$B$10)-F30)</f>
        <v/>
      </c>
      <c r="H30">
        <f>IF(C30=0,0,IF(B30&gt;=Tables!$B$79,Tables!$D$79,0)+IF(B30&gt;=Tables!$C$79,Tables!$E$79,0))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INDEX(Tables!$B$83:$B$123,A31+1)</f>
        <v/>
      </c>
      <c r="E31">
        <f>IF(A31=0,0,INDEX(Tables!$B$83:$B$123,A31))</f>
        <v/>
      </c>
      <c r="F31">
        <f>IF(AND(C31=1,Tables!$B$17="YES",A31&gt;0,E31&lt;Tables!$B$16),Tables!$B$15,0)</f>
        <v/>
      </c>
      <c r="G31">
        <f>IF(C31=0,0,Tables!$B$8-IF(B31&gt;=Tables!$B$7,Tables!$B$6,0)+IF(B31&lt;Tables!$B$27,Tables!$B$9,Tables!$B$10)-F31)</f>
        <v/>
      </c>
      <c r="H31">
        <f>IF(C31=0,0,IF(B31&gt;=Tables!$B$79,Tables!$D$79,0)+IF(B31&gt;=Tables!$C$79,Tables!$E$79,0))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INDEX(Tables!$B$83:$B$123,A32+1)</f>
        <v/>
      </c>
      <c r="E32">
        <f>IF(A32=0,0,INDEX(Tables!$B$83:$B$123,A32))</f>
        <v/>
      </c>
      <c r="F32">
        <f>IF(AND(C32=1,Tables!$B$17="YES",A32&gt;0,E32&lt;Tables!$B$16),Tables!$B$15,0)</f>
        <v/>
      </c>
      <c r="G32">
        <f>IF(C32=0,0,Tables!$B$8-IF(B32&gt;=Tables!$B$7,Tables!$B$6,0)+IF(B32&lt;Tables!$B$27,Tables!$B$9,Tables!$B$10)-F32)</f>
        <v/>
      </c>
      <c r="H32">
        <f>IF(C32=0,0,IF(B32&gt;=Tables!$B$79,Tables!$D$79,0)+IF(B32&gt;=Tables!$C$79,Tables!$E$79,0))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INDEX(Tables!$B$83:$B$123,A33+1)</f>
        <v/>
      </c>
      <c r="E33">
        <f>IF(A33=0,0,INDEX(Tables!$B$83:$B$123,A33))</f>
        <v/>
      </c>
      <c r="F33">
        <f>IF(AND(C33=1,Tables!$B$17="YES",A33&gt;0,E33&lt;Tables!$B$16),Tables!$B$15,0)</f>
        <v/>
      </c>
      <c r="G33">
        <f>IF(C33=0,0,Tables!$B$8-IF(B33&gt;=Tables!$B$7,Tables!$B$6,0)+IF(B33&lt;Tables!$B$27,Tables!$B$9,Tables!$B$10)-F33)</f>
        <v/>
      </c>
      <c r="H33">
        <f>IF(C33=0,0,IF(B33&gt;=Tables!$B$79,Tables!$D$79,0)+IF(B33&gt;=Tables!$C$79,Tables!$E$79,0))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INDEX(Tables!$B$83:$B$123,A34+1)</f>
        <v/>
      </c>
      <c r="E34">
        <f>IF(A34=0,0,INDEX(Tables!$B$83:$B$123,A34))</f>
        <v/>
      </c>
      <c r="F34">
        <f>IF(AND(C34=1,Tables!$B$17="YES",A34&gt;0,E34&lt;Tables!$B$16),Tables!$B$15,0)</f>
        <v/>
      </c>
      <c r="G34">
        <f>IF(C34=0,0,Tables!$B$8-IF(B34&gt;=Tables!$B$7,Tables!$B$6,0)+IF(B34&lt;Tables!$B$27,Tables!$B$9,Tables!$B$10)-F34)</f>
        <v/>
      </c>
      <c r="H34">
        <f>IF(C34=0,0,IF(B34&gt;=Tables!$B$79,Tables!$D$79,0)+IF(B34&gt;=Tables!$C$79,Tables!$E$79,0))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INDEX(Tables!$B$83:$B$123,A35+1)</f>
        <v/>
      </c>
      <c r="E35">
        <f>IF(A35=0,0,INDEX(Tables!$B$83:$B$123,A35))</f>
        <v/>
      </c>
      <c r="F35">
        <f>IF(AND(C35=1,Tables!$B$17="YES",A35&gt;0,E35&lt;Tables!$B$16),Tables!$B$15,0)</f>
        <v/>
      </c>
      <c r="G35">
        <f>IF(C35=0,0,Tables!$B$8-IF(B35&gt;=Tables!$B$7,Tables!$B$6,0)+IF(B35&lt;Tables!$B$27,Tables!$B$9,Tables!$B$10)-F35)</f>
        <v/>
      </c>
      <c r="H35">
        <f>IF(C35=0,0,IF(B35&gt;=Tables!$B$79,Tables!$D$79,0)+IF(B35&gt;=Tables!$C$79,Tables!$E$79,0))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INDEX(Tables!$B$83:$B$123,A36+1)</f>
        <v/>
      </c>
      <c r="E36">
        <f>IF(A36=0,0,INDEX(Tables!$B$83:$B$123,A36))</f>
        <v/>
      </c>
      <c r="F36">
        <f>IF(AND(C36=1,Tables!$B$17="YES",A36&gt;0,E36&lt;Tables!$B$16),Tables!$B$15,0)</f>
        <v/>
      </c>
      <c r="G36">
        <f>IF(C36=0,0,Tables!$B$8-IF(B36&gt;=Tables!$B$7,Tables!$B$6,0)+IF(B36&lt;Tables!$B$27,Tables!$B$9,Tables!$B$10)-F36)</f>
        <v/>
      </c>
      <c r="H36">
        <f>IF(C36=0,0,IF(B36&gt;=Tables!$B$79,Tables!$D$79,0)+IF(B36&gt;=Tables!$C$79,Tables!$E$79,0))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INDEX(Tables!$B$83:$B$123,A37+1)</f>
        <v/>
      </c>
      <c r="E37">
        <f>IF(A37=0,0,INDEX(Tables!$B$83:$B$123,A37))</f>
        <v/>
      </c>
      <c r="F37">
        <f>IF(AND(C37=1,Tables!$B$17="YES",A37&gt;0,E37&lt;Tables!$B$16),Tables!$B$15,0)</f>
        <v/>
      </c>
      <c r="G37">
        <f>IF(C37=0,0,Tables!$B$8-IF(B37&gt;=Tables!$B$7,Tables!$B$6,0)+IF(B37&lt;Tables!$B$27,Tables!$B$9,Tables!$B$10)-F37)</f>
        <v/>
      </c>
      <c r="H37">
        <f>IF(C37=0,0,IF(B37&gt;=Tables!$B$79,Tables!$D$79,0)+IF(B37&gt;=Tables!$C$79,Tables!$E$79,0))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INDEX(Tables!$B$83:$B$123,A38+1)</f>
        <v/>
      </c>
      <c r="E38">
        <f>IF(A38=0,0,INDEX(Tables!$B$83:$B$123,A38))</f>
        <v/>
      </c>
      <c r="F38">
        <f>IF(AND(C38=1,Tables!$B$17="YES",A38&gt;0,E38&lt;Tables!$B$16),Tables!$B$15,0)</f>
        <v/>
      </c>
      <c r="G38">
        <f>IF(C38=0,0,Tables!$B$8-IF(B38&gt;=Tables!$B$7,Tables!$B$6,0)+IF(B38&lt;Tables!$B$27,Tables!$B$9,Tables!$B$10)-F38)</f>
        <v/>
      </c>
      <c r="H38">
        <f>IF(C38=0,0,IF(B38&gt;=Tables!$B$79,Tables!$D$79,0)+IF(B38&gt;=Tables!$C$79,Tables!$E$79,0))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INDEX(Tables!$B$83:$B$123,A39+1)</f>
        <v/>
      </c>
      <c r="E39">
        <f>IF(A39=0,0,INDEX(Tables!$B$83:$B$123,A39))</f>
        <v/>
      </c>
      <c r="F39">
        <f>IF(AND(C39=1,Tables!$B$17="YES",A39&gt;0,E39&lt;Tables!$B$16),Tables!$B$15,0)</f>
        <v/>
      </c>
      <c r="G39">
        <f>IF(C39=0,0,Tables!$B$8-IF(B39&gt;=Tables!$B$7,Tables!$B$6,0)+IF(B39&lt;Tables!$B$27,Tables!$B$9,Tables!$B$10)-F39)</f>
        <v/>
      </c>
      <c r="H39">
        <f>IF(C39=0,0,IF(B39&gt;=Tables!$B$79,Tables!$D$79,0)+IF(B39&gt;=Tables!$C$79,Tables!$E$79,0))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INDEX(Tables!$B$83:$B$123,A40+1)</f>
        <v/>
      </c>
      <c r="E40">
        <f>IF(A40=0,0,INDEX(Tables!$B$83:$B$123,A40))</f>
        <v/>
      </c>
      <c r="F40">
        <f>IF(AND(C40=1,Tables!$B$17="YES",A40&gt;0,E40&lt;Tables!$B$16),Tables!$B$15,0)</f>
        <v/>
      </c>
      <c r="G40">
        <f>IF(C40=0,0,Tables!$B$8-IF(B40&gt;=Tables!$B$7,Tables!$B$6,0)+IF(B40&lt;Tables!$B$27,Tables!$B$9,Tables!$B$10)-F40)</f>
        <v/>
      </c>
      <c r="H40">
        <f>IF(C40=0,0,IF(B40&gt;=Tables!$B$79,Tables!$D$79,0)+IF(B40&gt;=Tables!$C$79,Tables!$E$79,0))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INDEX(Tables!$B$83:$B$123,A41+1)</f>
        <v/>
      </c>
      <c r="E41">
        <f>IF(A41=0,0,INDEX(Tables!$B$83:$B$123,A41))</f>
        <v/>
      </c>
      <c r="F41">
        <f>IF(AND(C41=1,Tables!$B$17="YES",A41&gt;0,E41&lt;Tables!$B$16),Tables!$B$15,0)</f>
        <v/>
      </c>
      <c r="G41">
        <f>IF(C41=0,0,Tables!$B$8-IF(B41&gt;=Tables!$B$7,Tables!$B$6,0)+IF(B41&lt;Tables!$B$27,Tables!$B$9,Tables!$B$10)-F41)</f>
        <v/>
      </c>
      <c r="H41">
        <f>IF(C41=0,0,IF(B41&gt;=Tables!$B$79,Tables!$D$79,0)+IF(B41&gt;=Tables!$C$79,Tables!$E$79,0))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INDEX(Tables!$B$83:$B$123,A42+1)</f>
        <v/>
      </c>
      <c r="E42">
        <f>IF(A42=0,0,INDEX(Tables!$B$83:$B$123,A42))</f>
        <v/>
      </c>
      <c r="F42">
        <f>IF(AND(C42=1,Tables!$B$17="YES",A42&gt;0,E42&lt;Tables!$B$16),Tables!$B$15,0)</f>
        <v/>
      </c>
      <c r="G42">
        <f>IF(C42=0,0,Tables!$B$8-IF(B42&gt;=Tables!$B$7,Tables!$B$6,0)+IF(B42&lt;Tables!$B$27,Tables!$B$9,Tables!$B$10)-F42)</f>
        <v/>
      </c>
      <c r="H42">
        <f>IF(C42=0,0,IF(B42&gt;=Tables!$B$79,Tables!$D$79,0)+IF(B42&gt;=Tables!$C$79,Tables!$E$79,0))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2.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f>IF(AND(C2=1,Tables!$B$17="YES",A2&gt;0,E2&lt;Tables!$B$16),Tables!$B$15,0)</f>
        <v/>
      </c>
      <c r="G2">
        <f>IF(C2=0,0,Tables!$B$8-IF(B2&gt;=Tables!$B$7,Tables!$B$6,0)+IF(B2&lt;Tables!$B$27,Tables!$B$9,Tables!$B$10)-F2)</f>
        <v/>
      </c>
      <c r="H2">
        <f>IF(C2=0,0,IF(B2&gt;=Tables!$B$79,Tables!$D$79,0)+IF(B2&gt;=Tables!$C$79,Tables!$E$79,0))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f>IF(AND(C3=1,Tables!$B$17="YES",A3&gt;0,E3&lt;Tables!$B$16),Tables!$B$15,0)</f>
        <v/>
      </c>
      <c r="G3">
        <f>IF(C3=0,0,Tables!$B$8-IF(B3&gt;=Tables!$B$7,Tables!$B$6,0)+IF(B3&lt;Tables!$B$27,Tables!$B$9,Tables!$B$10)-F3)</f>
        <v/>
      </c>
      <c r="H3">
        <f>IF(C3=0,0,IF(B3&gt;=Tables!$B$79,Tables!$D$79,0)+IF(B3&gt;=Tables!$C$79,Tables!$E$79,0))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f>IF(AND(C4=1,Tables!$B$17="YES",A4&gt;0,E4&lt;Tables!$B$16),Tables!$B$15,0)</f>
        <v/>
      </c>
      <c r="G4">
        <f>IF(C4=0,0,Tables!$B$8-IF(B4&gt;=Tables!$B$7,Tables!$B$6,0)+IF(B4&lt;Tables!$B$27,Tables!$B$9,Tables!$B$10)-F4)</f>
        <v/>
      </c>
      <c r="H4">
        <f>IF(C4=0,0,IF(B4&gt;=Tables!$B$79,Tables!$D$79,0)+IF(B4&gt;=Tables!$C$79,Tables!$E$79,0))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f>IF(AND(C5=1,Tables!$B$17="YES",A5&gt;0,E5&lt;Tables!$B$16),Tables!$B$15,0)</f>
        <v/>
      </c>
      <c r="G5">
        <f>IF(C5=0,0,Tables!$B$8-IF(B5&gt;=Tables!$B$7,Tables!$B$6,0)+IF(B5&lt;Tables!$B$27,Tables!$B$9,Tables!$B$10)-F5)</f>
        <v/>
      </c>
      <c r="H5">
        <f>IF(C5=0,0,IF(B5&gt;=Tables!$B$79,Tables!$D$79,0)+IF(B5&gt;=Tables!$C$79,Tables!$E$79,0))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f>IF(AND(C6=1,Tables!$B$17="YES",A6&gt;0,E6&lt;Tables!$B$16),Tables!$B$15,0)</f>
        <v/>
      </c>
      <c r="G6">
        <f>IF(C6=0,0,Tables!$B$8-IF(B6&gt;=Tables!$B$7,Tables!$B$6,0)+IF(B6&lt;Tables!$B$27,Tables!$B$9,Tables!$B$10)-F6)</f>
        <v/>
      </c>
      <c r="H6">
        <f>IF(C6=0,0,IF(B6&gt;=Tables!$B$79,Tables!$D$79,0)+IF(B6&gt;=Tables!$C$79,Tables!$E$79,0))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f>IF(AND(C7=1,Tables!$B$17="YES",A7&gt;0,E7&lt;Tables!$B$16),Tables!$B$15,0)</f>
        <v/>
      </c>
      <c r="G7">
        <f>IF(C7=0,0,Tables!$B$8-IF(B7&gt;=Tables!$B$7,Tables!$B$6,0)+IF(B7&lt;Tables!$B$27,Tables!$B$9,Tables!$B$10)-F7)</f>
        <v/>
      </c>
      <c r="H7">
        <f>IF(C7=0,0,IF(B7&gt;=Tables!$B$79,Tables!$D$79,0)+IF(B7&gt;=Tables!$C$79,Tables!$E$79,0))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f>IF(AND(C8=1,Tables!$B$17="YES",A8&gt;0,E8&lt;Tables!$B$16),Tables!$B$15,0)</f>
        <v/>
      </c>
      <c r="G8">
        <f>IF(C8=0,0,Tables!$B$8-IF(B8&gt;=Tables!$B$7,Tables!$B$6,0)+IF(B8&lt;Tables!$B$27,Tables!$B$9,Tables!$B$10)-F8)</f>
        <v/>
      </c>
      <c r="H8">
        <f>IF(C8=0,0,IF(B8&gt;=Tables!$B$79,Tables!$D$79,0)+IF(B8&gt;=Tables!$C$79,Tables!$E$79,0))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f>IF(AND(C9=1,Tables!$B$17="YES",A9&gt;0,E9&lt;Tables!$B$16),Tables!$B$15,0)</f>
        <v/>
      </c>
      <c r="G9">
        <f>IF(C9=0,0,Tables!$B$8-IF(B9&gt;=Tables!$B$7,Tables!$B$6,0)+IF(B9&lt;Tables!$B$27,Tables!$B$9,Tables!$B$10)-F9)</f>
        <v/>
      </c>
      <c r="H9">
        <f>IF(C9=0,0,IF(B9&gt;=Tables!$B$79,Tables!$D$79,0)+IF(B9&gt;=Tables!$C$79,Tables!$E$79,0))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f>IF(AND(C10=1,Tables!$B$17="YES",A10&gt;0,E10&lt;Tables!$B$16),Tables!$B$15,0)</f>
        <v/>
      </c>
      <c r="G10">
        <f>IF(C10=0,0,Tables!$B$8-IF(B10&gt;=Tables!$B$7,Tables!$B$6,0)+IF(B10&lt;Tables!$B$27,Tables!$B$9,Tables!$B$10)-F10)</f>
        <v/>
      </c>
      <c r="H10">
        <f>IF(C10=0,0,IF(B10&gt;=Tables!$B$79,Tables!$D$79,0)+IF(B10&gt;=Tables!$C$79,Tables!$E$79,0))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f>IF(AND(C11=1,Tables!$B$17="YES",A11&gt;0,E11&lt;Tables!$B$16),Tables!$B$15,0)</f>
        <v/>
      </c>
      <c r="G11">
        <f>IF(C11=0,0,Tables!$B$8-IF(B11&gt;=Tables!$B$7,Tables!$B$6,0)+IF(B11&lt;Tables!$B$27,Tables!$B$9,Tables!$B$10)-F11)</f>
        <v/>
      </c>
      <c r="H11">
        <f>IF(C11=0,0,IF(B11&gt;=Tables!$B$79,Tables!$D$79,0)+IF(B11&gt;=Tables!$C$79,Tables!$E$79,0))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f>IF(AND(C12=1,Tables!$B$17="YES",A12&gt;0,E12&lt;Tables!$B$16),Tables!$B$15,0)</f>
        <v/>
      </c>
      <c r="G12">
        <f>IF(C12=0,0,Tables!$B$8-IF(B12&gt;=Tables!$B$7,Tables!$B$6,0)+IF(B12&lt;Tables!$B$27,Tables!$B$9,Tables!$B$10)-F12)</f>
        <v/>
      </c>
      <c r="H12">
        <f>IF(C12=0,0,IF(B12&gt;=Tables!$B$79,Tables!$D$79,0)+IF(B12&gt;=Tables!$C$79,Tables!$E$79,0))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f>IF(AND(C13=1,Tables!$B$17="YES",A13&gt;0,E13&lt;Tables!$B$16),Tables!$B$15,0)</f>
        <v/>
      </c>
      <c r="G13">
        <f>IF(C13=0,0,Tables!$B$8-IF(B13&gt;=Tables!$B$7,Tables!$B$6,0)+IF(B13&lt;Tables!$B$27,Tables!$B$9,Tables!$B$10)-F13)</f>
        <v/>
      </c>
      <c r="H13">
        <f>IF(C13=0,0,IF(B13&gt;=Tables!$B$79,Tables!$D$79,0)+IF(B13&gt;=Tables!$C$79,Tables!$E$79,0))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f>IF(AND(C14=1,Tables!$B$17="YES",A14&gt;0,E14&lt;Tables!$B$16),Tables!$B$15,0)</f>
        <v/>
      </c>
      <c r="G14">
        <f>IF(C14=0,0,Tables!$B$8-IF(B14&gt;=Tables!$B$7,Tables!$B$6,0)+IF(B14&lt;Tables!$B$27,Tables!$B$9,Tables!$B$10)-F14)</f>
        <v/>
      </c>
      <c r="H14">
        <f>IF(C14=0,0,IF(B14&gt;=Tables!$B$79,Tables!$D$79,0)+IF(B14&gt;=Tables!$C$79,Tables!$E$79,0))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f>IF(AND(C15=1,Tables!$B$17="YES",A15&gt;0,E15&lt;Tables!$B$16),Tables!$B$15,0)</f>
        <v/>
      </c>
      <c r="G15">
        <f>IF(C15=0,0,Tables!$B$8-IF(B15&gt;=Tables!$B$7,Tables!$B$6,0)+IF(B15&lt;Tables!$B$27,Tables!$B$9,Tables!$B$10)-F15)</f>
        <v/>
      </c>
      <c r="H15">
        <f>IF(C15=0,0,IF(B15&gt;=Tables!$B$79,Tables!$D$79,0)+IF(B15&gt;=Tables!$C$79,Tables!$E$79,0))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f>IF(AND(C16=1,Tables!$B$17="YES",A16&gt;0,E16&lt;Tables!$B$16),Tables!$B$15,0)</f>
        <v/>
      </c>
      <c r="G16">
        <f>IF(C16=0,0,Tables!$B$8-IF(B16&gt;=Tables!$B$7,Tables!$B$6,0)+IF(B16&lt;Tables!$B$27,Tables!$B$9,Tables!$B$10)-F16)</f>
        <v/>
      </c>
      <c r="H16">
        <f>IF(C16=0,0,IF(B16&gt;=Tables!$B$79,Tables!$D$79,0)+IF(B16&gt;=Tables!$C$79,Tables!$E$79,0))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f>IF(AND(C17=1,Tables!$B$17="YES",A17&gt;0,E17&lt;Tables!$B$16),Tables!$B$15,0)</f>
        <v/>
      </c>
      <c r="G17">
        <f>IF(C17=0,0,Tables!$B$8-IF(B17&gt;=Tables!$B$7,Tables!$B$6,0)+IF(B17&lt;Tables!$B$27,Tables!$B$9,Tables!$B$10)-F17)</f>
        <v/>
      </c>
      <c r="H17">
        <f>IF(C17=0,0,IF(B17&gt;=Tables!$B$79,Tables!$D$79,0)+IF(B17&gt;=Tables!$C$79,Tables!$E$79,0))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f>IF(AND(C18=1,Tables!$B$17="YES",A18&gt;0,E18&lt;Tables!$B$16),Tables!$B$15,0)</f>
        <v/>
      </c>
      <c r="G18">
        <f>IF(C18=0,0,Tables!$B$8-IF(B18&gt;=Tables!$B$7,Tables!$B$6,0)+IF(B18&lt;Tables!$B$27,Tables!$B$9,Tables!$B$10)-F18)</f>
        <v/>
      </c>
      <c r="H18">
        <f>IF(C18=0,0,IF(B18&gt;=Tables!$B$79,Tables!$D$79,0)+IF(B18&gt;=Tables!$C$79,Tables!$E$79,0))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f>IF(AND(C19=1,Tables!$B$17="YES",A19&gt;0,E19&lt;Tables!$B$16),Tables!$B$15,0)</f>
        <v/>
      </c>
      <c r="G19">
        <f>IF(C19=0,0,Tables!$B$8-IF(B19&gt;=Tables!$B$7,Tables!$B$6,0)+IF(B19&lt;Tables!$B$27,Tables!$B$9,Tables!$B$10)-F19)</f>
        <v/>
      </c>
      <c r="H19">
        <f>IF(C19=0,0,IF(B19&gt;=Tables!$B$79,Tables!$D$79,0)+IF(B19&gt;=Tables!$C$79,Tables!$E$79,0))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f>IF(AND(C20=1,Tables!$B$17="YES",A20&gt;0,E20&lt;Tables!$B$16),Tables!$B$15,0)</f>
        <v/>
      </c>
      <c r="G20">
        <f>IF(C20=0,0,Tables!$B$8-IF(B20&gt;=Tables!$B$7,Tables!$B$6,0)+IF(B20&lt;Tables!$B$27,Tables!$B$9,Tables!$B$10)-F20)</f>
        <v/>
      </c>
      <c r="H20">
        <f>IF(C20=0,0,IF(B20&gt;=Tables!$B$79,Tables!$D$79,0)+IF(B20&gt;=Tables!$C$79,Tables!$E$79,0))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f>IF(AND(C21=1,Tables!$B$17="YES",A21&gt;0,E21&lt;Tables!$B$16),Tables!$B$15,0)</f>
        <v/>
      </c>
      <c r="G21">
        <f>IF(C21=0,0,Tables!$B$8-IF(B21&gt;=Tables!$B$7,Tables!$B$6,0)+IF(B21&lt;Tables!$B$27,Tables!$B$9,Tables!$B$10)-F21)</f>
        <v/>
      </c>
      <c r="H21">
        <f>IF(C21=0,0,IF(B21&gt;=Tables!$B$79,Tables!$D$79,0)+IF(B21&gt;=Tables!$C$79,Tables!$E$79,0))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f>IF(AND(C22=1,Tables!$B$17="YES",A22&gt;0,E22&lt;Tables!$B$16),Tables!$B$15,0)</f>
        <v/>
      </c>
      <c r="G22">
        <f>IF(C22=0,0,Tables!$B$8-IF(B22&gt;=Tables!$B$7,Tables!$B$6,0)+IF(B22&lt;Tables!$B$27,Tables!$B$9,Tables!$B$10)-F22)</f>
        <v/>
      </c>
      <c r="H22">
        <f>IF(C22=0,0,IF(B22&gt;=Tables!$B$79,Tables!$D$79,0)+IF(B22&gt;=Tables!$C$79,Tables!$E$79,0))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f>IF(AND(C23=1,Tables!$B$17="YES",A23&gt;0,E23&lt;Tables!$B$16),Tables!$B$15,0)</f>
        <v/>
      </c>
      <c r="G23">
        <f>IF(C23=0,0,Tables!$B$8-IF(B23&gt;=Tables!$B$7,Tables!$B$6,0)+IF(B23&lt;Tables!$B$27,Tables!$B$9,Tables!$B$10)-F23)</f>
        <v/>
      </c>
      <c r="H23">
        <f>IF(C23=0,0,IF(B23&gt;=Tables!$B$79,Tables!$D$79,0)+IF(B23&gt;=Tables!$C$79,Tables!$E$79,0))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f>IF(AND(C24=1,Tables!$B$17="YES",A24&gt;0,E24&lt;Tables!$B$16),Tables!$B$15,0)</f>
        <v/>
      </c>
      <c r="G24">
        <f>IF(C24=0,0,Tables!$B$8-IF(B24&gt;=Tables!$B$7,Tables!$B$6,0)+IF(B24&lt;Tables!$B$27,Tables!$B$9,Tables!$B$10)-F24)</f>
        <v/>
      </c>
      <c r="H24">
        <f>IF(C24=0,0,IF(B24&gt;=Tables!$B$79,Tables!$D$79,0)+IF(B24&gt;=Tables!$C$79,Tables!$E$79,0))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f>IF(AND(C25=1,Tables!$B$17="YES",A25&gt;0,E25&lt;Tables!$B$16),Tables!$B$15,0)</f>
        <v/>
      </c>
      <c r="G25">
        <f>IF(C25=0,0,Tables!$B$8-IF(B25&gt;=Tables!$B$7,Tables!$B$6,0)+IF(B25&lt;Tables!$B$27,Tables!$B$9,Tables!$B$10)-F25)</f>
        <v/>
      </c>
      <c r="H25">
        <f>IF(C25=0,0,IF(B25&gt;=Tables!$B$79,Tables!$D$79,0)+IF(B25&gt;=Tables!$C$79,Tables!$E$79,0))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f>IF(AND(C26=1,Tables!$B$17="YES",A26&gt;0,E26&lt;Tables!$B$16),Tables!$B$15,0)</f>
        <v/>
      </c>
      <c r="G26">
        <f>IF(C26=0,0,Tables!$B$8-IF(B26&gt;=Tables!$B$7,Tables!$B$6,0)+IF(B26&lt;Tables!$B$27,Tables!$B$9,Tables!$B$10)-F26)</f>
        <v/>
      </c>
      <c r="H26">
        <f>IF(C26=0,0,IF(B26&gt;=Tables!$B$79,Tables!$D$79,0)+IF(B26&gt;=Tables!$C$79,Tables!$E$79,0))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f>IF(AND(C27=1,Tables!$B$17="YES",A27&gt;0,E27&lt;Tables!$B$16),Tables!$B$15,0)</f>
        <v/>
      </c>
      <c r="G27">
        <f>IF(C27=0,0,Tables!$B$8-IF(B27&gt;=Tables!$B$7,Tables!$B$6,0)+IF(B27&lt;Tables!$B$27,Tables!$B$9,Tables!$B$10)-F27)</f>
        <v/>
      </c>
      <c r="H27">
        <f>IF(C27=0,0,IF(B27&gt;=Tables!$B$79,Tables!$D$79,0)+IF(B27&gt;=Tables!$C$79,Tables!$E$79,0))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f>IF(AND(C28=1,Tables!$B$17="YES",A28&gt;0,E28&lt;Tables!$B$16),Tables!$B$15,0)</f>
        <v/>
      </c>
      <c r="G28">
        <f>IF(C28=0,0,Tables!$B$8-IF(B28&gt;=Tables!$B$7,Tables!$B$6,0)+IF(B28&lt;Tables!$B$27,Tables!$B$9,Tables!$B$10)-F28)</f>
        <v/>
      </c>
      <c r="H28">
        <f>IF(C28=0,0,IF(B28&gt;=Tables!$B$79,Tables!$D$79,0)+IF(B28&gt;=Tables!$C$79,Tables!$E$79,0))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f>IF(AND(C29=1,Tables!$B$17="YES",A29&gt;0,E29&lt;Tables!$B$16),Tables!$B$15,0)</f>
        <v/>
      </c>
      <c r="G29">
        <f>IF(C29=0,0,Tables!$B$8-IF(B29&gt;=Tables!$B$7,Tables!$B$6,0)+IF(B29&lt;Tables!$B$27,Tables!$B$9,Tables!$B$10)-F29)</f>
        <v/>
      </c>
      <c r="H29">
        <f>IF(C29=0,0,IF(B29&gt;=Tables!$B$79,Tables!$D$79,0)+IF(B29&gt;=Tables!$C$79,Tables!$E$79,0))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f>IF(AND(C30=1,Tables!$B$17="YES",A30&gt;0,E30&lt;Tables!$B$16),Tables!$B$15,0)</f>
        <v/>
      </c>
      <c r="G30">
        <f>IF(C30=0,0,Tables!$B$8-IF(B30&gt;=Tables!$B$7,Tables!$B$6,0)+IF(B30&lt;Tables!$B$27,Tables!$B$9,Tables!$B$10)-F30)</f>
        <v/>
      </c>
      <c r="H30">
        <f>IF(C30=0,0,IF(B30&gt;=Tables!$B$79,Tables!$D$79,0)+IF(B30&gt;=Tables!$C$79,Tables!$E$79,0))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f>IF(AND(C31=1,Tables!$B$17="YES",A31&gt;0,E31&lt;Tables!$B$16),Tables!$B$15,0)</f>
        <v/>
      </c>
      <c r="G31">
        <f>IF(C31=0,0,Tables!$B$8-IF(B31&gt;=Tables!$B$7,Tables!$B$6,0)+IF(B31&lt;Tables!$B$27,Tables!$B$9,Tables!$B$10)-F31)</f>
        <v/>
      </c>
      <c r="H31">
        <f>IF(C31=0,0,IF(B31&gt;=Tables!$B$79,Tables!$D$79,0)+IF(B31&gt;=Tables!$C$79,Tables!$E$79,0))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f>IF(AND(C32=1,Tables!$B$17="YES",A32&gt;0,E32&lt;Tables!$B$16),Tables!$B$15,0)</f>
        <v/>
      </c>
      <c r="G32">
        <f>IF(C32=0,0,Tables!$B$8-IF(B32&gt;=Tables!$B$7,Tables!$B$6,0)+IF(B32&lt;Tables!$B$27,Tables!$B$9,Tables!$B$10)-F32)</f>
        <v/>
      </c>
      <c r="H32">
        <f>IF(C32=0,0,IF(B32&gt;=Tables!$B$79,Tables!$D$79,0)+IF(B32&gt;=Tables!$C$79,Tables!$E$79,0))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f>IF(AND(C33=1,Tables!$B$17="YES",A33&gt;0,E33&lt;Tables!$B$16),Tables!$B$15,0)</f>
        <v/>
      </c>
      <c r="G33">
        <f>IF(C33=0,0,Tables!$B$8-IF(B33&gt;=Tables!$B$7,Tables!$B$6,0)+IF(B33&lt;Tables!$B$27,Tables!$B$9,Tables!$B$10)-F33)</f>
        <v/>
      </c>
      <c r="H33">
        <f>IF(C33=0,0,IF(B33&gt;=Tables!$B$79,Tables!$D$79,0)+IF(B33&gt;=Tables!$C$79,Tables!$E$79,0))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f>IF(AND(C34=1,Tables!$B$17="YES",A34&gt;0,E34&lt;Tables!$B$16),Tables!$B$15,0)</f>
        <v/>
      </c>
      <c r="G34">
        <f>IF(C34=0,0,Tables!$B$8-IF(B34&gt;=Tables!$B$7,Tables!$B$6,0)+IF(B34&lt;Tables!$B$27,Tables!$B$9,Tables!$B$10)-F34)</f>
        <v/>
      </c>
      <c r="H34">
        <f>IF(C34=0,0,IF(B34&gt;=Tables!$B$79,Tables!$D$79,0)+IF(B34&gt;=Tables!$C$79,Tables!$E$79,0))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f>IF(AND(C35=1,Tables!$B$17="YES",A35&gt;0,E35&lt;Tables!$B$16),Tables!$B$15,0)</f>
        <v/>
      </c>
      <c r="G35">
        <f>IF(C35=0,0,Tables!$B$8-IF(B35&gt;=Tables!$B$7,Tables!$B$6,0)+IF(B35&lt;Tables!$B$27,Tables!$B$9,Tables!$B$10)-F35)</f>
        <v/>
      </c>
      <c r="H35">
        <f>IF(C35=0,0,IF(B35&gt;=Tables!$B$79,Tables!$D$79,0)+IF(B35&gt;=Tables!$C$79,Tables!$E$79,0))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f>IF(AND(C36=1,Tables!$B$17="YES",A36&gt;0,E36&lt;Tables!$B$16),Tables!$B$15,0)</f>
        <v/>
      </c>
      <c r="G36">
        <f>IF(C36=0,0,Tables!$B$8-IF(B36&gt;=Tables!$B$7,Tables!$B$6,0)+IF(B36&lt;Tables!$B$27,Tables!$B$9,Tables!$B$10)-F36)</f>
        <v/>
      </c>
      <c r="H36">
        <f>IF(C36=0,0,IF(B36&gt;=Tables!$B$79,Tables!$D$79,0)+IF(B36&gt;=Tables!$C$79,Tables!$E$79,0))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f>IF(AND(C37=1,Tables!$B$17="YES",A37&gt;0,E37&lt;Tables!$B$16),Tables!$B$15,0)</f>
        <v/>
      </c>
      <c r="G37">
        <f>IF(C37=0,0,Tables!$B$8-IF(B37&gt;=Tables!$B$7,Tables!$B$6,0)+IF(B37&lt;Tables!$B$27,Tables!$B$9,Tables!$B$10)-F37)</f>
        <v/>
      </c>
      <c r="H37">
        <f>IF(C37=0,0,IF(B37&gt;=Tables!$B$79,Tables!$D$79,0)+IF(B37&gt;=Tables!$C$79,Tables!$E$79,0))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f>IF(AND(C38=1,Tables!$B$17="YES",A38&gt;0,E38&lt;Tables!$B$16),Tables!$B$15,0)</f>
        <v/>
      </c>
      <c r="G38">
        <f>IF(C38=0,0,Tables!$B$8-IF(B38&gt;=Tables!$B$7,Tables!$B$6,0)+IF(B38&lt;Tables!$B$27,Tables!$B$9,Tables!$B$10)-F38)</f>
        <v/>
      </c>
      <c r="H38">
        <f>IF(C38=0,0,IF(B38&gt;=Tables!$B$79,Tables!$D$79,0)+IF(B38&gt;=Tables!$C$79,Tables!$E$79,0))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f>IF(AND(C39=1,Tables!$B$17="YES",A39&gt;0,E39&lt;Tables!$B$16),Tables!$B$15,0)</f>
        <v/>
      </c>
      <c r="G39">
        <f>IF(C39=0,0,Tables!$B$8-IF(B39&gt;=Tables!$B$7,Tables!$B$6,0)+IF(B39&lt;Tables!$B$27,Tables!$B$9,Tables!$B$10)-F39)</f>
        <v/>
      </c>
      <c r="H39">
        <f>IF(C39=0,0,IF(B39&gt;=Tables!$B$79,Tables!$D$79,0)+IF(B39&gt;=Tables!$C$79,Tables!$E$79,0))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f>IF(AND(C40=1,Tables!$B$17="YES",A40&gt;0,E40&lt;Tables!$B$16),Tables!$B$15,0)</f>
        <v/>
      </c>
      <c r="G40">
        <f>IF(C40=0,0,Tables!$B$8-IF(B40&gt;=Tables!$B$7,Tables!$B$6,0)+IF(B40&lt;Tables!$B$27,Tables!$B$9,Tables!$B$10)-F40)</f>
        <v/>
      </c>
      <c r="H40">
        <f>IF(C40=0,0,IF(B40&gt;=Tables!$B$79,Tables!$D$79,0)+IF(B40&gt;=Tables!$C$79,Tables!$E$79,0))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f>IF(AND(C41=1,Tables!$B$17="YES",A41&gt;0,E41&lt;Tables!$B$16),Tables!$B$15,0)</f>
        <v/>
      </c>
      <c r="G41">
        <f>IF(C41=0,0,Tables!$B$8-IF(B41&gt;=Tables!$B$7,Tables!$B$6,0)+IF(B41&lt;Tables!$B$27,Tables!$B$9,Tables!$B$10)-F41)</f>
        <v/>
      </c>
      <c r="H41">
        <f>IF(C41=0,0,IF(B41&gt;=Tables!$B$79,Tables!$D$79,0)+IF(B41&gt;=Tables!$C$79,Tables!$E$79,0))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f>IF(AND(C42=1,Tables!$B$17="YES",A42&gt;0,E42&lt;Tables!$B$16),Tables!$B$15,0)</f>
        <v/>
      </c>
      <c r="G42">
        <f>IF(C42=0,0,Tables!$B$8-IF(B42&gt;=Tables!$B$7,Tables!$B$6,0)+IF(B42&lt;Tables!$B$27,Tables!$B$9,Tables!$B$10)-F42)</f>
        <v/>
      </c>
      <c r="H42">
        <f>IF(C42=0,0,IF(B42&gt;=Tables!$B$79,Tables!$D$79,0)+IF(B42&gt;=Tables!$C$79,Tables!$E$79,0))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3.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IF(C2=0,0,Tables!$B$8-4000-IF(B2&gt;=Tables!$B$7,Tables!$B$6,0)+IF(B2&lt;Tables!$B$27,Tables!$B$9,Tables!$B$10)-F2)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IF(C3=0,0,Tables!$B$8-4000-IF(B3&gt;=Tables!$B$7,Tables!$B$6,0)+IF(B3&lt;Tables!$B$27,Tables!$B$9,Tables!$B$10)-F3)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IF(C4=0,0,Tables!$B$8-4000-IF(B4&gt;=Tables!$B$7,Tables!$B$6,0)+IF(B4&lt;Tables!$B$27,Tables!$B$9,Tables!$B$10)-F4)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IF(C5=0,0,Tables!$B$8-4000-IF(B5&gt;=Tables!$B$7,Tables!$B$6,0)+IF(B5&lt;Tables!$B$27,Tables!$B$9,Tables!$B$10)-F5)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IF(C6=0,0,Tables!$B$8-4000-IF(B6&gt;=Tables!$B$7,Tables!$B$6,0)+IF(B6&lt;Tables!$B$27,Tables!$B$9,Tables!$B$10)-F6)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IF(C7=0,0,Tables!$B$8-4000-IF(B7&gt;=Tables!$B$7,Tables!$B$6,0)+IF(B7&lt;Tables!$B$27,Tables!$B$9,Tables!$B$10)-F7)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IF(C8=0,0,Tables!$B$8-4000-IF(B8&gt;=Tables!$B$7,Tables!$B$6,0)+IF(B8&lt;Tables!$B$27,Tables!$B$9,Tables!$B$10)-F8)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IF(C9=0,0,Tables!$B$8-4000-IF(B9&gt;=Tables!$B$7,Tables!$B$6,0)+IF(B9&lt;Tables!$B$27,Tables!$B$9,Tables!$B$10)-F9)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IF(C10=0,0,Tables!$B$8-4000-IF(B10&gt;=Tables!$B$7,Tables!$B$6,0)+IF(B10&lt;Tables!$B$27,Tables!$B$9,Tables!$B$10)-F10)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IF(C11=0,0,Tables!$B$8-4000-IF(B11&gt;=Tables!$B$7,Tables!$B$6,0)+IF(B11&lt;Tables!$B$27,Tables!$B$9,Tables!$B$10)-F11)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IF(C12=0,0,Tables!$B$8-4000-IF(B12&gt;=Tables!$B$7,Tables!$B$6,0)+IF(B12&lt;Tables!$B$27,Tables!$B$9,Tables!$B$10)-F12)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IF(C13=0,0,Tables!$B$8-4000-IF(B13&gt;=Tables!$B$7,Tables!$B$6,0)+IF(B13&lt;Tables!$B$27,Tables!$B$9,Tables!$B$10)-F13)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IF(C14=0,0,Tables!$B$8-4000-IF(B14&gt;=Tables!$B$7,Tables!$B$6,0)+IF(B14&lt;Tables!$B$27,Tables!$B$9,Tables!$B$10)-F14)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IF(C15=0,0,Tables!$B$8-4000-IF(B15&gt;=Tables!$B$7,Tables!$B$6,0)+IF(B15&lt;Tables!$B$27,Tables!$B$9,Tables!$B$10)-F15)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IF(C16=0,0,Tables!$B$8-4000-IF(B16&gt;=Tables!$B$7,Tables!$B$6,0)+IF(B16&lt;Tables!$B$27,Tables!$B$9,Tables!$B$10)-F16)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IF(C17=0,0,Tables!$B$8-4000-IF(B17&gt;=Tables!$B$7,Tables!$B$6,0)+IF(B17&lt;Tables!$B$27,Tables!$B$9,Tables!$B$10)-F17)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IF(C18=0,0,Tables!$B$8-4000-IF(B18&gt;=Tables!$B$7,Tables!$B$6,0)+IF(B18&lt;Tables!$B$27,Tables!$B$9,Tables!$B$10)-F18)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IF(C19=0,0,Tables!$B$8-4000-IF(B19&gt;=Tables!$B$7,Tables!$B$6,0)+IF(B19&lt;Tables!$B$27,Tables!$B$9,Tables!$B$10)-F19)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IF(C20=0,0,Tables!$B$8-4000-IF(B20&gt;=Tables!$B$7,Tables!$B$6,0)+IF(B20&lt;Tables!$B$27,Tables!$B$9,Tables!$B$10)-F20)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IF(C21=0,0,Tables!$B$8-4000-IF(B21&gt;=Tables!$B$7,Tables!$B$6,0)+IF(B21&lt;Tables!$B$27,Tables!$B$9,Tables!$B$10)-F21)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IF(C22=0,0,Tables!$B$8-4000-IF(B22&gt;=Tables!$B$7,Tables!$B$6,0)+IF(B22&lt;Tables!$B$27,Tables!$B$9,Tables!$B$10)-F22)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IF(C23=0,0,Tables!$B$8-4000-IF(B23&gt;=Tables!$B$7,Tables!$B$6,0)+IF(B23&lt;Tables!$B$27,Tables!$B$9,Tables!$B$10)-F23)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IF(C24=0,0,Tables!$B$8-4000-IF(B24&gt;=Tables!$B$7,Tables!$B$6,0)+IF(B24&lt;Tables!$B$27,Tables!$B$9,Tables!$B$10)-F24)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IF(C25=0,0,Tables!$B$8-4000-IF(B25&gt;=Tables!$B$7,Tables!$B$6,0)+IF(B25&lt;Tables!$B$27,Tables!$B$9,Tables!$B$10)-F25)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IF(C26=0,0,Tables!$B$8-4000-IF(B26&gt;=Tables!$B$7,Tables!$B$6,0)+IF(B26&lt;Tables!$B$27,Tables!$B$9,Tables!$B$10)-F26)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IF(C27=0,0,Tables!$B$8-4000-IF(B27&gt;=Tables!$B$7,Tables!$B$6,0)+IF(B27&lt;Tables!$B$27,Tables!$B$9,Tables!$B$10)-F27)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IF(C28=0,0,Tables!$B$8-4000-IF(B28&gt;=Tables!$B$7,Tables!$B$6,0)+IF(B28&lt;Tables!$B$27,Tables!$B$9,Tables!$B$10)-F28)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IF(C29=0,0,Tables!$B$8-4000-IF(B29&gt;=Tables!$B$7,Tables!$B$6,0)+IF(B29&lt;Tables!$B$27,Tables!$B$9,Tables!$B$10)-F29)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IF(C30=0,0,Tables!$B$8-4000-IF(B30&gt;=Tables!$B$7,Tables!$B$6,0)+IF(B30&lt;Tables!$B$27,Tables!$B$9,Tables!$B$10)-F30)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IF(C31=0,0,Tables!$B$8-4000-IF(B31&gt;=Tables!$B$7,Tables!$B$6,0)+IF(B31&lt;Tables!$B$27,Tables!$B$9,Tables!$B$10)-F31)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IF(C32=0,0,Tables!$B$8-4000-IF(B32&gt;=Tables!$B$7,Tables!$B$6,0)+IF(B32&lt;Tables!$B$27,Tables!$B$9,Tables!$B$10)-F32)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IF(C33=0,0,Tables!$B$8-4000-IF(B33&gt;=Tables!$B$7,Tables!$B$6,0)+IF(B33&lt;Tables!$B$27,Tables!$B$9,Tables!$B$10)-F33)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IF(C34=0,0,Tables!$B$8-4000-IF(B34&gt;=Tables!$B$7,Tables!$B$6,0)+IF(B34&lt;Tables!$B$27,Tables!$B$9,Tables!$B$10)-F34)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IF(C35=0,0,Tables!$B$8-4000-IF(B35&gt;=Tables!$B$7,Tables!$B$6,0)+IF(B35&lt;Tables!$B$27,Tables!$B$9,Tables!$B$10)-F35)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IF(C36=0,0,Tables!$B$8-4000-IF(B36&gt;=Tables!$B$7,Tables!$B$6,0)+IF(B36&lt;Tables!$B$27,Tables!$B$9,Tables!$B$10)-F36)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IF(C37=0,0,Tables!$B$8-4000-IF(B37&gt;=Tables!$B$7,Tables!$B$6,0)+IF(B37&lt;Tables!$B$27,Tables!$B$9,Tables!$B$10)-F37)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IF(C38=0,0,Tables!$B$8-4000-IF(B38&gt;=Tables!$B$7,Tables!$B$6,0)+IF(B38&lt;Tables!$B$27,Tables!$B$9,Tables!$B$10)-F38)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IF(C39=0,0,Tables!$B$8-4000-IF(B39&gt;=Tables!$B$7,Tables!$B$6,0)+IF(B39&lt;Tables!$B$27,Tables!$B$9,Tables!$B$10)-F39)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IF(C40=0,0,Tables!$B$8-4000-IF(B40&gt;=Tables!$B$7,Tables!$B$6,0)+IF(B40&lt;Tables!$B$27,Tables!$B$9,Tables!$B$10)-F40)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IF(C41=0,0,Tables!$B$8-4000-IF(B41&gt;=Tables!$B$7,Tables!$B$6,0)+IF(B41&lt;Tables!$B$27,Tables!$B$9,Tables!$B$10)-F41)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IF(C42=0,0,Tables!$B$8-4000-IF(B42&gt;=Tables!$B$7,Tables!$B$6,0)+IF(B42&lt;Tables!$B$27,Tables!$B$9,Tables!$B$10)-F42)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4.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IF(C2=0,0,Tables!$B$8-2000-IF(B2&gt;=Tables!$B$7,Tables!$B$6,0)+IF(B2&lt;Tables!$B$27,Tables!$B$9,Tables!$B$10)-F2)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IF(C3=0,0,Tables!$B$8-2000-IF(B3&gt;=Tables!$B$7,Tables!$B$6,0)+IF(B3&lt;Tables!$B$27,Tables!$B$9,Tables!$B$10)-F3)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IF(C4=0,0,Tables!$B$8-2000-IF(B4&gt;=Tables!$B$7,Tables!$B$6,0)+IF(B4&lt;Tables!$B$27,Tables!$B$9,Tables!$B$10)-F4)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IF(C5=0,0,Tables!$B$8-2000-IF(B5&gt;=Tables!$B$7,Tables!$B$6,0)+IF(B5&lt;Tables!$B$27,Tables!$B$9,Tables!$B$10)-F5)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IF(C6=0,0,Tables!$B$8-2000-IF(B6&gt;=Tables!$B$7,Tables!$B$6,0)+IF(B6&lt;Tables!$B$27,Tables!$B$9,Tables!$B$10)-F6)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IF(C7=0,0,Tables!$B$8-2000-IF(B7&gt;=Tables!$B$7,Tables!$B$6,0)+IF(B7&lt;Tables!$B$27,Tables!$B$9,Tables!$B$10)-F7)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IF(C8=0,0,Tables!$B$8-2000-IF(B8&gt;=Tables!$B$7,Tables!$B$6,0)+IF(B8&lt;Tables!$B$27,Tables!$B$9,Tables!$B$10)-F8)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IF(C9=0,0,Tables!$B$8-2000-IF(B9&gt;=Tables!$B$7,Tables!$B$6,0)+IF(B9&lt;Tables!$B$27,Tables!$B$9,Tables!$B$10)-F9)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IF(C10=0,0,Tables!$B$8-2000-IF(B10&gt;=Tables!$B$7,Tables!$B$6,0)+IF(B10&lt;Tables!$B$27,Tables!$B$9,Tables!$B$10)-F10)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IF(C11=0,0,Tables!$B$8-2000-IF(B11&gt;=Tables!$B$7,Tables!$B$6,0)+IF(B11&lt;Tables!$B$27,Tables!$B$9,Tables!$B$10)-F11)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IF(C12=0,0,Tables!$B$8-2000-IF(B12&gt;=Tables!$B$7,Tables!$B$6,0)+IF(B12&lt;Tables!$B$27,Tables!$B$9,Tables!$B$10)-F12)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IF(C13=0,0,Tables!$B$8-2000-IF(B13&gt;=Tables!$B$7,Tables!$B$6,0)+IF(B13&lt;Tables!$B$27,Tables!$B$9,Tables!$B$10)-F13)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IF(C14=0,0,Tables!$B$8-2000-IF(B14&gt;=Tables!$B$7,Tables!$B$6,0)+IF(B14&lt;Tables!$B$27,Tables!$B$9,Tables!$B$10)-F14)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IF(C15=0,0,Tables!$B$8-2000-IF(B15&gt;=Tables!$B$7,Tables!$B$6,0)+IF(B15&lt;Tables!$B$27,Tables!$B$9,Tables!$B$10)-F15)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IF(C16=0,0,Tables!$B$8-2000-IF(B16&gt;=Tables!$B$7,Tables!$B$6,0)+IF(B16&lt;Tables!$B$27,Tables!$B$9,Tables!$B$10)-F16)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IF(C17=0,0,Tables!$B$8-2000-IF(B17&gt;=Tables!$B$7,Tables!$B$6,0)+IF(B17&lt;Tables!$B$27,Tables!$B$9,Tables!$B$10)-F17)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IF(C18=0,0,Tables!$B$8-2000-IF(B18&gt;=Tables!$B$7,Tables!$B$6,0)+IF(B18&lt;Tables!$B$27,Tables!$B$9,Tables!$B$10)-F18)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IF(C19=0,0,Tables!$B$8-2000-IF(B19&gt;=Tables!$B$7,Tables!$B$6,0)+IF(B19&lt;Tables!$B$27,Tables!$B$9,Tables!$B$10)-F19)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IF(C20=0,0,Tables!$B$8-2000-IF(B20&gt;=Tables!$B$7,Tables!$B$6,0)+IF(B20&lt;Tables!$B$27,Tables!$B$9,Tables!$B$10)-F20)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IF(C21=0,0,Tables!$B$8-2000-IF(B21&gt;=Tables!$B$7,Tables!$B$6,0)+IF(B21&lt;Tables!$B$27,Tables!$B$9,Tables!$B$10)-F21)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IF(C22=0,0,Tables!$B$8-2000-IF(B22&gt;=Tables!$B$7,Tables!$B$6,0)+IF(B22&lt;Tables!$B$27,Tables!$B$9,Tables!$B$10)-F22)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IF(C23=0,0,Tables!$B$8-2000-IF(B23&gt;=Tables!$B$7,Tables!$B$6,0)+IF(B23&lt;Tables!$B$27,Tables!$B$9,Tables!$B$10)-F23)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IF(C24=0,0,Tables!$B$8-2000-IF(B24&gt;=Tables!$B$7,Tables!$B$6,0)+IF(B24&lt;Tables!$B$27,Tables!$B$9,Tables!$B$10)-F24)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IF(C25=0,0,Tables!$B$8-2000-IF(B25&gt;=Tables!$B$7,Tables!$B$6,0)+IF(B25&lt;Tables!$B$27,Tables!$B$9,Tables!$B$10)-F25)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IF(C26=0,0,Tables!$B$8-2000-IF(B26&gt;=Tables!$B$7,Tables!$B$6,0)+IF(B26&lt;Tables!$B$27,Tables!$B$9,Tables!$B$10)-F26)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IF(C27=0,0,Tables!$B$8-2000-IF(B27&gt;=Tables!$B$7,Tables!$B$6,0)+IF(B27&lt;Tables!$B$27,Tables!$B$9,Tables!$B$10)-F27)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IF(C28=0,0,Tables!$B$8-2000-IF(B28&gt;=Tables!$B$7,Tables!$B$6,0)+IF(B28&lt;Tables!$B$27,Tables!$B$9,Tables!$B$10)-F28)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IF(C29=0,0,Tables!$B$8-2000-IF(B29&gt;=Tables!$B$7,Tables!$B$6,0)+IF(B29&lt;Tables!$B$27,Tables!$B$9,Tables!$B$10)-F29)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IF(C30=0,0,Tables!$B$8-2000-IF(B30&gt;=Tables!$B$7,Tables!$B$6,0)+IF(B30&lt;Tables!$B$27,Tables!$B$9,Tables!$B$10)-F30)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IF(C31=0,0,Tables!$B$8-2000-IF(B31&gt;=Tables!$B$7,Tables!$B$6,0)+IF(B31&lt;Tables!$B$27,Tables!$B$9,Tables!$B$10)-F31)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IF(C32=0,0,Tables!$B$8-2000-IF(B32&gt;=Tables!$B$7,Tables!$B$6,0)+IF(B32&lt;Tables!$B$27,Tables!$B$9,Tables!$B$10)-F32)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IF(C33=0,0,Tables!$B$8-2000-IF(B33&gt;=Tables!$B$7,Tables!$B$6,0)+IF(B33&lt;Tables!$B$27,Tables!$B$9,Tables!$B$10)-F33)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IF(C34=0,0,Tables!$B$8-2000-IF(B34&gt;=Tables!$B$7,Tables!$B$6,0)+IF(B34&lt;Tables!$B$27,Tables!$B$9,Tables!$B$10)-F34)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IF(C35=0,0,Tables!$B$8-2000-IF(B35&gt;=Tables!$B$7,Tables!$B$6,0)+IF(B35&lt;Tables!$B$27,Tables!$B$9,Tables!$B$10)-F35)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IF(C36=0,0,Tables!$B$8-2000-IF(B36&gt;=Tables!$B$7,Tables!$B$6,0)+IF(B36&lt;Tables!$B$27,Tables!$B$9,Tables!$B$10)-F36)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IF(C37=0,0,Tables!$B$8-2000-IF(B37&gt;=Tables!$B$7,Tables!$B$6,0)+IF(B37&lt;Tables!$B$27,Tables!$B$9,Tables!$B$10)-F37)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IF(C38=0,0,Tables!$B$8-2000-IF(B38&gt;=Tables!$B$7,Tables!$B$6,0)+IF(B38&lt;Tables!$B$27,Tables!$B$9,Tables!$B$10)-F38)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IF(C39=0,0,Tables!$B$8-2000-IF(B39&gt;=Tables!$B$7,Tables!$B$6,0)+IF(B39&lt;Tables!$B$27,Tables!$B$9,Tables!$B$10)-F39)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IF(C40=0,0,Tables!$B$8-2000-IF(B40&gt;=Tables!$B$7,Tables!$B$6,0)+IF(B40&lt;Tables!$B$27,Tables!$B$9,Tables!$B$10)-F40)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IF(C41=0,0,Tables!$B$8-2000-IF(B41&gt;=Tables!$B$7,Tables!$B$6,0)+IF(B41&lt;Tables!$B$27,Tables!$B$9,Tables!$B$10)-F41)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IF(C42=0,0,Tables!$B$8-2000-IF(B42&gt;=Tables!$B$7,Tables!$B$6,0)+IF(B42&lt;Tables!$B$27,Tables!$B$9,Tables!$B$10)-F42)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5.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6.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IF(C2=0,0,Tables!$B$8+2000-IF(B2&gt;=Tables!$B$7,Tables!$B$6,0)+IF(B2&lt;Tables!$B$27,Tables!$B$9,Tables!$B$10)-F2)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IF(C3=0,0,Tables!$B$8+2000-IF(B3&gt;=Tables!$B$7,Tables!$B$6,0)+IF(B3&lt;Tables!$B$27,Tables!$B$9,Tables!$B$10)-F3)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IF(C4=0,0,Tables!$B$8+2000-IF(B4&gt;=Tables!$B$7,Tables!$B$6,0)+IF(B4&lt;Tables!$B$27,Tables!$B$9,Tables!$B$10)-F4)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IF(C5=0,0,Tables!$B$8+2000-IF(B5&gt;=Tables!$B$7,Tables!$B$6,0)+IF(B5&lt;Tables!$B$27,Tables!$B$9,Tables!$B$10)-F5)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IF(C6=0,0,Tables!$B$8+2000-IF(B6&gt;=Tables!$B$7,Tables!$B$6,0)+IF(B6&lt;Tables!$B$27,Tables!$B$9,Tables!$B$10)-F6)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IF(C7=0,0,Tables!$B$8+2000-IF(B7&gt;=Tables!$B$7,Tables!$B$6,0)+IF(B7&lt;Tables!$B$27,Tables!$B$9,Tables!$B$10)-F7)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IF(C8=0,0,Tables!$B$8+2000-IF(B8&gt;=Tables!$B$7,Tables!$B$6,0)+IF(B8&lt;Tables!$B$27,Tables!$B$9,Tables!$B$10)-F8)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IF(C9=0,0,Tables!$B$8+2000-IF(B9&gt;=Tables!$B$7,Tables!$B$6,0)+IF(B9&lt;Tables!$B$27,Tables!$B$9,Tables!$B$10)-F9)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IF(C10=0,0,Tables!$B$8+2000-IF(B10&gt;=Tables!$B$7,Tables!$B$6,0)+IF(B10&lt;Tables!$B$27,Tables!$B$9,Tables!$B$10)-F10)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IF(C11=0,0,Tables!$B$8+2000-IF(B11&gt;=Tables!$B$7,Tables!$B$6,0)+IF(B11&lt;Tables!$B$27,Tables!$B$9,Tables!$B$10)-F11)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IF(C12=0,0,Tables!$B$8+2000-IF(B12&gt;=Tables!$B$7,Tables!$B$6,0)+IF(B12&lt;Tables!$B$27,Tables!$B$9,Tables!$B$10)-F12)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IF(C13=0,0,Tables!$B$8+2000-IF(B13&gt;=Tables!$B$7,Tables!$B$6,0)+IF(B13&lt;Tables!$B$27,Tables!$B$9,Tables!$B$10)-F13)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IF(C14=0,0,Tables!$B$8+2000-IF(B14&gt;=Tables!$B$7,Tables!$B$6,0)+IF(B14&lt;Tables!$B$27,Tables!$B$9,Tables!$B$10)-F14)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IF(C15=0,0,Tables!$B$8+2000-IF(B15&gt;=Tables!$B$7,Tables!$B$6,0)+IF(B15&lt;Tables!$B$27,Tables!$B$9,Tables!$B$10)-F15)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IF(C16=0,0,Tables!$B$8+2000-IF(B16&gt;=Tables!$B$7,Tables!$B$6,0)+IF(B16&lt;Tables!$B$27,Tables!$B$9,Tables!$B$10)-F16)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IF(C17=0,0,Tables!$B$8+2000-IF(B17&gt;=Tables!$B$7,Tables!$B$6,0)+IF(B17&lt;Tables!$B$27,Tables!$B$9,Tables!$B$10)-F17)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IF(C18=0,0,Tables!$B$8+2000-IF(B18&gt;=Tables!$B$7,Tables!$B$6,0)+IF(B18&lt;Tables!$B$27,Tables!$B$9,Tables!$B$10)-F18)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IF(C19=0,0,Tables!$B$8+2000-IF(B19&gt;=Tables!$B$7,Tables!$B$6,0)+IF(B19&lt;Tables!$B$27,Tables!$B$9,Tables!$B$10)-F19)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IF(C20=0,0,Tables!$B$8+2000-IF(B20&gt;=Tables!$B$7,Tables!$B$6,0)+IF(B20&lt;Tables!$B$27,Tables!$B$9,Tables!$B$10)-F20)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IF(C21=0,0,Tables!$B$8+2000-IF(B21&gt;=Tables!$B$7,Tables!$B$6,0)+IF(B21&lt;Tables!$B$27,Tables!$B$9,Tables!$B$10)-F21)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IF(C22=0,0,Tables!$B$8+2000-IF(B22&gt;=Tables!$B$7,Tables!$B$6,0)+IF(B22&lt;Tables!$B$27,Tables!$B$9,Tables!$B$10)-F22)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IF(C23=0,0,Tables!$B$8+2000-IF(B23&gt;=Tables!$B$7,Tables!$B$6,0)+IF(B23&lt;Tables!$B$27,Tables!$B$9,Tables!$B$10)-F23)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IF(C24=0,0,Tables!$B$8+2000-IF(B24&gt;=Tables!$B$7,Tables!$B$6,0)+IF(B24&lt;Tables!$B$27,Tables!$B$9,Tables!$B$10)-F24)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IF(C25=0,0,Tables!$B$8+2000-IF(B25&gt;=Tables!$B$7,Tables!$B$6,0)+IF(B25&lt;Tables!$B$27,Tables!$B$9,Tables!$B$10)-F25)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IF(C26=0,0,Tables!$B$8+2000-IF(B26&gt;=Tables!$B$7,Tables!$B$6,0)+IF(B26&lt;Tables!$B$27,Tables!$B$9,Tables!$B$10)-F26)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IF(C27=0,0,Tables!$B$8+2000-IF(B27&gt;=Tables!$B$7,Tables!$B$6,0)+IF(B27&lt;Tables!$B$27,Tables!$B$9,Tables!$B$10)-F27)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IF(C28=0,0,Tables!$B$8+2000-IF(B28&gt;=Tables!$B$7,Tables!$B$6,0)+IF(B28&lt;Tables!$B$27,Tables!$B$9,Tables!$B$10)-F28)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IF(C29=0,0,Tables!$B$8+2000-IF(B29&gt;=Tables!$B$7,Tables!$B$6,0)+IF(B29&lt;Tables!$B$27,Tables!$B$9,Tables!$B$10)-F29)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IF(C30=0,0,Tables!$B$8+2000-IF(B30&gt;=Tables!$B$7,Tables!$B$6,0)+IF(B30&lt;Tables!$B$27,Tables!$B$9,Tables!$B$10)-F30)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IF(C31=0,0,Tables!$B$8+2000-IF(B31&gt;=Tables!$B$7,Tables!$B$6,0)+IF(B31&lt;Tables!$B$27,Tables!$B$9,Tables!$B$10)-F31)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IF(C32=0,0,Tables!$B$8+2000-IF(B32&gt;=Tables!$B$7,Tables!$B$6,0)+IF(B32&lt;Tables!$B$27,Tables!$B$9,Tables!$B$10)-F32)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IF(C33=0,0,Tables!$B$8+2000-IF(B33&gt;=Tables!$B$7,Tables!$B$6,0)+IF(B33&lt;Tables!$B$27,Tables!$B$9,Tables!$B$10)-F33)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IF(C34=0,0,Tables!$B$8+2000-IF(B34&gt;=Tables!$B$7,Tables!$B$6,0)+IF(B34&lt;Tables!$B$27,Tables!$B$9,Tables!$B$10)-F34)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IF(C35=0,0,Tables!$B$8+2000-IF(B35&gt;=Tables!$B$7,Tables!$B$6,0)+IF(B35&lt;Tables!$B$27,Tables!$B$9,Tables!$B$10)-F35)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IF(C36=0,0,Tables!$B$8+2000-IF(B36&gt;=Tables!$B$7,Tables!$B$6,0)+IF(B36&lt;Tables!$B$27,Tables!$B$9,Tables!$B$10)-F36)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IF(C37=0,0,Tables!$B$8+2000-IF(B37&gt;=Tables!$B$7,Tables!$B$6,0)+IF(B37&lt;Tables!$B$27,Tables!$B$9,Tables!$B$10)-F37)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IF(C38=0,0,Tables!$B$8+2000-IF(B38&gt;=Tables!$B$7,Tables!$B$6,0)+IF(B38&lt;Tables!$B$27,Tables!$B$9,Tables!$B$10)-F38)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IF(C39=0,0,Tables!$B$8+2000-IF(B39&gt;=Tables!$B$7,Tables!$B$6,0)+IF(B39&lt;Tables!$B$27,Tables!$B$9,Tables!$B$10)-F39)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IF(C40=0,0,Tables!$B$8+2000-IF(B40&gt;=Tables!$B$7,Tables!$B$6,0)+IF(B40&lt;Tables!$B$27,Tables!$B$9,Tables!$B$10)-F40)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IF(C41=0,0,Tables!$B$8+2000-IF(B41&gt;=Tables!$B$7,Tables!$B$6,0)+IF(B41&lt;Tables!$B$27,Tables!$B$9,Tables!$B$10)-F41)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IF(C42=0,0,Tables!$B$8+2000-IF(B42&gt;=Tables!$B$7,Tables!$B$6,0)+IF(B42&lt;Tables!$B$27,Tables!$B$9,Tables!$B$10)-F42)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7.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IF(C2=0,0,Tables!$B$8+4000-IF(B2&gt;=Tables!$B$7,Tables!$B$6,0)+IF(B2&lt;Tables!$B$27,Tables!$B$9,Tables!$B$10)-F2)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IF(C3=0,0,Tables!$B$8+4000-IF(B3&gt;=Tables!$B$7,Tables!$B$6,0)+IF(B3&lt;Tables!$B$27,Tables!$B$9,Tables!$B$10)-F3)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IF(C4=0,0,Tables!$B$8+4000-IF(B4&gt;=Tables!$B$7,Tables!$B$6,0)+IF(B4&lt;Tables!$B$27,Tables!$B$9,Tables!$B$10)-F4)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IF(C5=0,0,Tables!$B$8+4000-IF(B5&gt;=Tables!$B$7,Tables!$B$6,0)+IF(B5&lt;Tables!$B$27,Tables!$B$9,Tables!$B$10)-F5)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IF(C6=0,0,Tables!$B$8+4000-IF(B6&gt;=Tables!$B$7,Tables!$B$6,0)+IF(B6&lt;Tables!$B$27,Tables!$B$9,Tables!$B$10)-F6)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IF(C7=0,0,Tables!$B$8+4000-IF(B7&gt;=Tables!$B$7,Tables!$B$6,0)+IF(B7&lt;Tables!$B$27,Tables!$B$9,Tables!$B$10)-F7)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IF(C8=0,0,Tables!$B$8+4000-IF(B8&gt;=Tables!$B$7,Tables!$B$6,0)+IF(B8&lt;Tables!$B$27,Tables!$B$9,Tables!$B$10)-F8)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IF(C9=0,0,Tables!$B$8+4000-IF(B9&gt;=Tables!$B$7,Tables!$B$6,0)+IF(B9&lt;Tables!$B$27,Tables!$B$9,Tables!$B$10)-F9)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IF(C10=0,0,Tables!$B$8+4000-IF(B10&gt;=Tables!$B$7,Tables!$B$6,0)+IF(B10&lt;Tables!$B$27,Tables!$B$9,Tables!$B$10)-F10)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IF(C11=0,0,Tables!$B$8+4000-IF(B11&gt;=Tables!$B$7,Tables!$B$6,0)+IF(B11&lt;Tables!$B$27,Tables!$B$9,Tables!$B$10)-F11)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IF(C12=0,0,Tables!$B$8+4000-IF(B12&gt;=Tables!$B$7,Tables!$B$6,0)+IF(B12&lt;Tables!$B$27,Tables!$B$9,Tables!$B$10)-F12)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IF(C13=0,0,Tables!$B$8+4000-IF(B13&gt;=Tables!$B$7,Tables!$B$6,0)+IF(B13&lt;Tables!$B$27,Tables!$B$9,Tables!$B$10)-F13)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IF(C14=0,0,Tables!$B$8+4000-IF(B14&gt;=Tables!$B$7,Tables!$B$6,0)+IF(B14&lt;Tables!$B$27,Tables!$B$9,Tables!$B$10)-F14)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IF(C15=0,0,Tables!$B$8+4000-IF(B15&gt;=Tables!$B$7,Tables!$B$6,0)+IF(B15&lt;Tables!$B$27,Tables!$B$9,Tables!$B$10)-F15)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IF(C16=0,0,Tables!$B$8+4000-IF(B16&gt;=Tables!$B$7,Tables!$B$6,0)+IF(B16&lt;Tables!$B$27,Tables!$B$9,Tables!$B$10)-F16)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IF(C17=0,0,Tables!$B$8+4000-IF(B17&gt;=Tables!$B$7,Tables!$B$6,0)+IF(B17&lt;Tables!$B$27,Tables!$B$9,Tables!$B$10)-F17)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IF(C18=0,0,Tables!$B$8+4000-IF(B18&gt;=Tables!$B$7,Tables!$B$6,0)+IF(B18&lt;Tables!$B$27,Tables!$B$9,Tables!$B$10)-F18)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IF(C19=0,0,Tables!$B$8+4000-IF(B19&gt;=Tables!$B$7,Tables!$B$6,0)+IF(B19&lt;Tables!$B$27,Tables!$B$9,Tables!$B$10)-F19)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IF(C20=0,0,Tables!$B$8+4000-IF(B20&gt;=Tables!$B$7,Tables!$B$6,0)+IF(B20&lt;Tables!$B$27,Tables!$B$9,Tables!$B$10)-F20)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IF(C21=0,0,Tables!$B$8+4000-IF(B21&gt;=Tables!$B$7,Tables!$B$6,0)+IF(B21&lt;Tables!$B$27,Tables!$B$9,Tables!$B$10)-F21)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IF(C22=0,0,Tables!$B$8+4000-IF(B22&gt;=Tables!$B$7,Tables!$B$6,0)+IF(B22&lt;Tables!$B$27,Tables!$B$9,Tables!$B$10)-F22)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IF(C23=0,0,Tables!$B$8+4000-IF(B23&gt;=Tables!$B$7,Tables!$B$6,0)+IF(B23&lt;Tables!$B$27,Tables!$B$9,Tables!$B$10)-F23)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IF(C24=0,0,Tables!$B$8+4000-IF(B24&gt;=Tables!$B$7,Tables!$B$6,0)+IF(B24&lt;Tables!$B$27,Tables!$B$9,Tables!$B$10)-F24)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IF(C25=0,0,Tables!$B$8+4000-IF(B25&gt;=Tables!$B$7,Tables!$B$6,0)+IF(B25&lt;Tables!$B$27,Tables!$B$9,Tables!$B$10)-F25)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IF(C26=0,0,Tables!$B$8+4000-IF(B26&gt;=Tables!$B$7,Tables!$B$6,0)+IF(B26&lt;Tables!$B$27,Tables!$B$9,Tables!$B$10)-F26)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IF(C27=0,0,Tables!$B$8+4000-IF(B27&gt;=Tables!$B$7,Tables!$B$6,0)+IF(B27&lt;Tables!$B$27,Tables!$B$9,Tables!$B$10)-F27)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IF(C28=0,0,Tables!$B$8+4000-IF(B28&gt;=Tables!$B$7,Tables!$B$6,0)+IF(B28&lt;Tables!$B$27,Tables!$B$9,Tables!$B$10)-F28)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IF(C29=0,0,Tables!$B$8+4000-IF(B29&gt;=Tables!$B$7,Tables!$B$6,0)+IF(B29&lt;Tables!$B$27,Tables!$B$9,Tables!$B$10)-F29)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IF(C30=0,0,Tables!$B$8+4000-IF(B30&gt;=Tables!$B$7,Tables!$B$6,0)+IF(B30&lt;Tables!$B$27,Tables!$B$9,Tables!$B$10)-F30)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IF(C31=0,0,Tables!$B$8+4000-IF(B31&gt;=Tables!$B$7,Tables!$B$6,0)+IF(B31&lt;Tables!$B$27,Tables!$B$9,Tables!$B$10)-F31)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IF(C32=0,0,Tables!$B$8+4000-IF(B32&gt;=Tables!$B$7,Tables!$B$6,0)+IF(B32&lt;Tables!$B$27,Tables!$B$9,Tables!$B$10)-F32)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IF(C33=0,0,Tables!$B$8+4000-IF(B33&gt;=Tables!$B$7,Tables!$B$6,0)+IF(B33&lt;Tables!$B$27,Tables!$B$9,Tables!$B$10)-F33)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IF(C34=0,0,Tables!$B$8+4000-IF(B34&gt;=Tables!$B$7,Tables!$B$6,0)+IF(B34&lt;Tables!$B$27,Tables!$B$9,Tables!$B$10)-F34)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IF(C35=0,0,Tables!$B$8+4000-IF(B35&gt;=Tables!$B$7,Tables!$B$6,0)+IF(B35&lt;Tables!$B$27,Tables!$B$9,Tables!$B$10)-F35)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IF(C36=0,0,Tables!$B$8+4000-IF(B36&gt;=Tables!$B$7,Tables!$B$6,0)+IF(B36&lt;Tables!$B$27,Tables!$B$9,Tables!$B$10)-F36)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IF(C37=0,0,Tables!$B$8+4000-IF(B37&gt;=Tables!$B$7,Tables!$B$6,0)+IF(B37&lt;Tables!$B$27,Tables!$B$9,Tables!$B$10)-F37)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IF(C38=0,0,Tables!$B$8+4000-IF(B38&gt;=Tables!$B$7,Tables!$B$6,0)+IF(B38&lt;Tables!$B$27,Tables!$B$9,Tables!$B$10)-F38)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IF(C39=0,0,Tables!$B$8+4000-IF(B39&gt;=Tables!$B$7,Tables!$B$6,0)+IF(B39&lt;Tables!$B$27,Tables!$B$9,Tables!$B$10)-F39)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IF(C40=0,0,Tables!$B$8+4000-IF(B40&gt;=Tables!$B$7,Tables!$B$6,0)+IF(B40&lt;Tables!$B$27,Tables!$B$9,Tables!$B$10)-F40)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IF(C41=0,0,Tables!$B$8+4000-IF(B41&gt;=Tables!$B$7,Tables!$B$6,0)+IF(B41&lt;Tables!$B$27,Tables!$B$9,Tables!$B$10)-F41)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IF(C42=0,0,Tables!$B$8+4000-IF(B42&gt;=Tables!$B$7,Tables!$B$6,0)+IF(B42&lt;Tables!$B$27,Tables!$B$9,Tables!$B$10)-F42)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8.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IF(C2=0,0,Tables!$B$8+6000-IF(B2&gt;=Tables!$B$7,Tables!$B$6,0)+IF(B2&lt;Tables!$B$27,Tables!$B$9,Tables!$B$10)-F2)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IF(C3=0,0,Tables!$B$8+6000-IF(B3&gt;=Tables!$B$7,Tables!$B$6,0)+IF(B3&lt;Tables!$B$27,Tables!$B$9,Tables!$B$10)-F3)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IF(C4=0,0,Tables!$B$8+6000-IF(B4&gt;=Tables!$B$7,Tables!$B$6,0)+IF(B4&lt;Tables!$B$27,Tables!$B$9,Tables!$B$10)-F4)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IF(C5=0,0,Tables!$B$8+6000-IF(B5&gt;=Tables!$B$7,Tables!$B$6,0)+IF(B5&lt;Tables!$B$27,Tables!$B$9,Tables!$B$10)-F5)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IF(C6=0,0,Tables!$B$8+6000-IF(B6&gt;=Tables!$B$7,Tables!$B$6,0)+IF(B6&lt;Tables!$B$27,Tables!$B$9,Tables!$B$10)-F6)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IF(C7=0,0,Tables!$B$8+6000-IF(B7&gt;=Tables!$B$7,Tables!$B$6,0)+IF(B7&lt;Tables!$B$27,Tables!$B$9,Tables!$B$10)-F7)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IF(C8=0,0,Tables!$B$8+6000-IF(B8&gt;=Tables!$B$7,Tables!$B$6,0)+IF(B8&lt;Tables!$B$27,Tables!$B$9,Tables!$B$10)-F8)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IF(C9=0,0,Tables!$B$8+6000-IF(B9&gt;=Tables!$B$7,Tables!$B$6,0)+IF(B9&lt;Tables!$B$27,Tables!$B$9,Tables!$B$10)-F9)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IF(C10=0,0,Tables!$B$8+6000-IF(B10&gt;=Tables!$B$7,Tables!$B$6,0)+IF(B10&lt;Tables!$B$27,Tables!$B$9,Tables!$B$10)-F10)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IF(C11=0,0,Tables!$B$8+6000-IF(B11&gt;=Tables!$B$7,Tables!$B$6,0)+IF(B11&lt;Tables!$B$27,Tables!$B$9,Tables!$B$10)-F11)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IF(C12=0,0,Tables!$B$8+6000-IF(B12&gt;=Tables!$B$7,Tables!$B$6,0)+IF(B12&lt;Tables!$B$27,Tables!$B$9,Tables!$B$10)-F12)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IF(C13=0,0,Tables!$B$8+6000-IF(B13&gt;=Tables!$B$7,Tables!$B$6,0)+IF(B13&lt;Tables!$B$27,Tables!$B$9,Tables!$B$10)-F13)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IF(C14=0,0,Tables!$B$8+6000-IF(B14&gt;=Tables!$B$7,Tables!$B$6,0)+IF(B14&lt;Tables!$B$27,Tables!$B$9,Tables!$B$10)-F14)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IF(C15=0,0,Tables!$B$8+6000-IF(B15&gt;=Tables!$B$7,Tables!$B$6,0)+IF(B15&lt;Tables!$B$27,Tables!$B$9,Tables!$B$10)-F15)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IF(C16=0,0,Tables!$B$8+6000-IF(B16&gt;=Tables!$B$7,Tables!$B$6,0)+IF(B16&lt;Tables!$B$27,Tables!$B$9,Tables!$B$10)-F16)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IF(C17=0,0,Tables!$B$8+6000-IF(B17&gt;=Tables!$B$7,Tables!$B$6,0)+IF(B17&lt;Tables!$B$27,Tables!$B$9,Tables!$B$10)-F17)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IF(C18=0,0,Tables!$B$8+6000-IF(B18&gt;=Tables!$B$7,Tables!$B$6,0)+IF(B18&lt;Tables!$B$27,Tables!$B$9,Tables!$B$10)-F18)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IF(C19=0,0,Tables!$B$8+6000-IF(B19&gt;=Tables!$B$7,Tables!$B$6,0)+IF(B19&lt;Tables!$B$27,Tables!$B$9,Tables!$B$10)-F19)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IF(C20=0,0,Tables!$B$8+6000-IF(B20&gt;=Tables!$B$7,Tables!$B$6,0)+IF(B20&lt;Tables!$B$27,Tables!$B$9,Tables!$B$10)-F20)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IF(C21=0,0,Tables!$B$8+6000-IF(B21&gt;=Tables!$B$7,Tables!$B$6,0)+IF(B21&lt;Tables!$B$27,Tables!$B$9,Tables!$B$10)-F21)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IF(C22=0,0,Tables!$B$8+6000-IF(B22&gt;=Tables!$B$7,Tables!$B$6,0)+IF(B22&lt;Tables!$B$27,Tables!$B$9,Tables!$B$10)-F22)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IF(C23=0,0,Tables!$B$8+6000-IF(B23&gt;=Tables!$B$7,Tables!$B$6,0)+IF(B23&lt;Tables!$B$27,Tables!$B$9,Tables!$B$10)-F23)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IF(C24=0,0,Tables!$B$8+6000-IF(B24&gt;=Tables!$B$7,Tables!$B$6,0)+IF(B24&lt;Tables!$B$27,Tables!$B$9,Tables!$B$10)-F24)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IF(C25=0,0,Tables!$B$8+6000-IF(B25&gt;=Tables!$B$7,Tables!$B$6,0)+IF(B25&lt;Tables!$B$27,Tables!$B$9,Tables!$B$10)-F25)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IF(C26=0,0,Tables!$B$8+6000-IF(B26&gt;=Tables!$B$7,Tables!$B$6,0)+IF(B26&lt;Tables!$B$27,Tables!$B$9,Tables!$B$10)-F26)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IF(C27=0,0,Tables!$B$8+6000-IF(B27&gt;=Tables!$B$7,Tables!$B$6,0)+IF(B27&lt;Tables!$B$27,Tables!$B$9,Tables!$B$10)-F27)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IF(C28=0,0,Tables!$B$8+6000-IF(B28&gt;=Tables!$B$7,Tables!$B$6,0)+IF(B28&lt;Tables!$B$27,Tables!$B$9,Tables!$B$10)-F28)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IF(C29=0,0,Tables!$B$8+6000-IF(B29&gt;=Tables!$B$7,Tables!$B$6,0)+IF(B29&lt;Tables!$B$27,Tables!$B$9,Tables!$B$10)-F29)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IF(C30=0,0,Tables!$B$8+6000-IF(B30&gt;=Tables!$B$7,Tables!$B$6,0)+IF(B30&lt;Tables!$B$27,Tables!$B$9,Tables!$B$10)-F30)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IF(C31=0,0,Tables!$B$8+6000-IF(B31&gt;=Tables!$B$7,Tables!$B$6,0)+IF(B31&lt;Tables!$B$27,Tables!$B$9,Tables!$B$10)-F31)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IF(C32=0,0,Tables!$B$8+6000-IF(B32&gt;=Tables!$B$7,Tables!$B$6,0)+IF(B32&lt;Tables!$B$27,Tables!$B$9,Tables!$B$10)-F32)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IF(C33=0,0,Tables!$B$8+6000-IF(B33&gt;=Tables!$B$7,Tables!$B$6,0)+IF(B33&lt;Tables!$B$27,Tables!$B$9,Tables!$B$10)-F33)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IF(C34=0,0,Tables!$B$8+6000-IF(B34&gt;=Tables!$B$7,Tables!$B$6,0)+IF(B34&lt;Tables!$B$27,Tables!$B$9,Tables!$B$10)-F34)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IF(C35=0,0,Tables!$B$8+6000-IF(B35&gt;=Tables!$B$7,Tables!$B$6,0)+IF(B35&lt;Tables!$B$27,Tables!$B$9,Tables!$B$10)-F35)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IF(C36=0,0,Tables!$B$8+6000-IF(B36&gt;=Tables!$B$7,Tables!$B$6,0)+IF(B36&lt;Tables!$B$27,Tables!$B$9,Tables!$B$10)-F36)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IF(C37=0,0,Tables!$B$8+6000-IF(B37&gt;=Tables!$B$7,Tables!$B$6,0)+IF(B37&lt;Tables!$B$27,Tables!$B$9,Tables!$B$10)-F37)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IF(C38=0,0,Tables!$B$8+6000-IF(B38&gt;=Tables!$B$7,Tables!$B$6,0)+IF(B38&lt;Tables!$B$27,Tables!$B$9,Tables!$B$10)-F38)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IF(C39=0,0,Tables!$B$8+6000-IF(B39&gt;=Tables!$B$7,Tables!$B$6,0)+IF(B39&lt;Tables!$B$27,Tables!$B$9,Tables!$B$10)-F39)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IF(C40=0,0,Tables!$B$8+6000-IF(B40&gt;=Tables!$B$7,Tables!$B$6,0)+IF(B40&lt;Tables!$B$27,Tables!$B$9,Tables!$B$10)-F40)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IF(C41=0,0,Tables!$B$8+6000-IF(B41&gt;=Tables!$B$7,Tables!$B$6,0)+IF(B41&lt;Tables!$B$27,Tables!$B$9,Tables!$B$10)-F41)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IF(C42=0,0,Tables!$B$8+6000-IF(B42&gt;=Tables!$B$7,Tables!$B$6,0)+IF(B42&lt;Tables!$B$27,Tables!$B$9,Tables!$B$10)-F42)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19.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t="n">
        <v>0</v>
      </c>
      <c r="G2">
        <f>IF(C2=0,0,Tables!$B$8+8000-IF(B2&gt;=Tables!$B$7,Tables!$B$6,0)+IF(B2&lt;Tables!$B$27,Tables!$B$9,Tables!$B$10)-F2)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t="n">
        <v>0</v>
      </c>
      <c r="G3">
        <f>IF(C3=0,0,Tables!$B$8+8000-IF(B3&gt;=Tables!$B$7,Tables!$B$6,0)+IF(B3&lt;Tables!$B$27,Tables!$B$9,Tables!$B$10)-F3)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t="n">
        <v>0</v>
      </c>
      <c r="G4">
        <f>IF(C4=0,0,Tables!$B$8+8000-IF(B4&gt;=Tables!$B$7,Tables!$B$6,0)+IF(B4&lt;Tables!$B$27,Tables!$B$9,Tables!$B$10)-F4)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t="n">
        <v>0</v>
      </c>
      <c r="G5">
        <f>IF(C5=0,0,Tables!$B$8+8000-IF(B5&gt;=Tables!$B$7,Tables!$B$6,0)+IF(B5&lt;Tables!$B$27,Tables!$B$9,Tables!$B$10)-F5)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t="n">
        <v>0</v>
      </c>
      <c r="G6">
        <f>IF(C6=0,0,Tables!$B$8+8000-IF(B6&gt;=Tables!$B$7,Tables!$B$6,0)+IF(B6&lt;Tables!$B$27,Tables!$B$9,Tables!$B$10)-F6)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t="n">
        <v>0</v>
      </c>
      <c r="G7">
        <f>IF(C7=0,0,Tables!$B$8+8000-IF(B7&gt;=Tables!$B$7,Tables!$B$6,0)+IF(B7&lt;Tables!$B$27,Tables!$B$9,Tables!$B$10)-F7)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t="n">
        <v>0</v>
      </c>
      <c r="G8">
        <f>IF(C8=0,0,Tables!$B$8+8000-IF(B8&gt;=Tables!$B$7,Tables!$B$6,0)+IF(B8&lt;Tables!$B$27,Tables!$B$9,Tables!$B$10)-F8)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t="n">
        <v>0</v>
      </c>
      <c r="G9">
        <f>IF(C9=0,0,Tables!$B$8+8000-IF(B9&gt;=Tables!$B$7,Tables!$B$6,0)+IF(B9&lt;Tables!$B$27,Tables!$B$9,Tables!$B$10)-F9)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t="n">
        <v>0</v>
      </c>
      <c r="G10">
        <f>IF(C10=0,0,Tables!$B$8+8000-IF(B10&gt;=Tables!$B$7,Tables!$B$6,0)+IF(B10&lt;Tables!$B$27,Tables!$B$9,Tables!$B$10)-F10)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t="n">
        <v>0</v>
      </c>
      <c r="G11">
        <f>IF(C11=0,0,Tables!$B$8+8000-IF(B11&gt;=Tables!$B$7,Tables!$B$6,0)+IF(B11&lt;Tables!$B$27,Tables!$B$9,Tables!$B$10)-F11)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t="n">
        <v>0</v>
      </c>
      <c r="G12">
        <f>IF(C12=0,0,Tables!$B$8+8000-IF(B12&gt;=Tables!$B$7,Tables!$B$6,0)+IF(B12&lt;Tables!$B$27,Tables!$B$9,Tables!$B$10)-F12)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t="n">
        <v>0</v>
      </c>
      <c r="G13">
        <f>IF(C13=0,0,Tables!$B$8+8000-IF(B13&gt;=Tables!$B$7,Tables!$B$6,0)+IF(B13&lt;Tables!$B$27,Tables!$B$9,Tables!$B$10)-F13)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t="n">
        <v>0</v>
      </c>
      <c r="G14">
        <f>IF(C14=0,0,Tables!$B$8+8000-IF(B14&gt;=Tables!$B$7,Tables!$B$6,0)+IF(B14&lt;Tables!$B$27,Tables!$B$9,Tables!$B$10)-F14)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t="n">
        <v>0</v>
      </c>
      <c r="G15">
        <f>IF(C15=0,0,Tables!$B$8+8000-IF(B15&gt;=Tables!$B$7,Tables!$B$6,0)+IF(B15&lt;Tables!$B$27,Tables!$B$9,Tables!$B$10)-F15)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t="n">
        <v>0</v>
      </c>
      <c r="G16">
        <f>IF(C16=0,0,Tables!$B$8+8000-IF(B16&gt;=Tables!$B$7,Tables!$B$6,0)+IF(B16&lt;Tables!$B$27,Tables!$B$9,Tables!$B$10)-F16)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t="n">
        <v>0</v>
      </c>
      <c r="G17">
        <f>IF(C17=0,0,Tables!$B$8+8000-IF(B17&gt;=Tables!$B$7,Tables!$B$6,0)+IF(B17&lt;Tables!$B$27,Tables!$B$9,Tables!$B$10)-F17)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t="n">
        <v>0</v>
      </c>
      <c r="G18">
        <f>IF(C18=0,0,Tables!$B$8+8000-IF(B18&gt;=Tables!$B$7,Tables!$B$6,0)+IF(B18&lt;Tables!$B$27,Tables!$B$9,Tables!$B$10)-F18)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t="n">
        <v>0</v>
      </c>
      <c r="G19">
        <f>IF(C19=0,0,Tables!$B$8+8000-IF(B19&gt;=Tables!$B$7,Tables!$B$6,0)+IF(B19&lt;Tables!$B$27,Tables!$B$9,Tables!$B$10)-F19)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t="n">
        <v>0</v>
      </c>
      <c r="G20">
        <f>IF(C20=0,0,Tables!$B$8+8000-IF(B20&gt;=Tables!$B$7,Tables!$B$6,0)+IF(B20&lt;Tables!$B$27,Tables!$B$9,Tables!$B$10)-F20)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t="n">
        <v>0</v>
      </c>
      <c r="G21">
        <f>IF(C21=0,0,Tables!$B$8+8000-IF(B21&gt;=Tables!$B$7,Tables!$B$6,0)+IF(B21&lt;Tables!$B$27,Tables!$B$9,Tables!$B$10)-F21)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t="n">
        <v>0</v>
      </c>
      <c r="G22">
        <f>IF(C22=0,0,Tables!$B$8+8000-IF(B22&gt;=Tables!$B$7,Tables!$B$6,0)+IF(B22&lt;Tables!$B$27,Tables!$B$9,Tables!$B$10)-F22)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t="n">
        <v>0</v>
      </c>
      <c r="G23">
        <f>IF(C23=0,0,Tables!$B$8+8000-IF(B23&gt;=Tables!$B$7,Tables!$B$6,0)+IF(B23&lt;Tables!$B$27,Tables!$B$9,Tables!$B$10)-F23)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t="n">
        <v>0</v>
      </c>
      <c r="G24">
        <f>IF(C24=0,0,Tables!$B$8+8000-IF(B24&gt;=Tables!$B$7,Tables!$B$6,0)+IF(B24&lt;Tables!$B$27,Tables!$B$9,Tables!$B$10)-F24)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t="n">
        <v>0</v>
      </c>
      <c r="G25">
        <f>IF(C25=0,0,Tables!$B$8+8000-IF(B25&gt;=Tables!$B$7,Tables!$B$6,0)+IF(B25&lt;Tables!$B$27,Tables!$B$9,Tables!$B$10)-F25)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t="n">
        <v>0</v>
      </c>
      <c r="G26">
        <f>IF(C26=0,0,Tables!$B$8+8000-IF(B26&gt;=Tables!$B$7,Tables!$B$6,0)+IF(B26&lt;Tables!$B$27,Tables!$B$9,Tables!$B$10)-F26)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t="n">
        <v>0</v>
      </c>
      <c r="G27">
        <f>IF(C27=0,0,Tables!$B$8+8000-IF(B27&gt;=Tables!$B$7,Tables!$B$6,0)+IF(B27&lt;Tables!$B$27,Tables!$B$9,Tables!$B$10)-F27)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t="n">
        <v>0</v>
      </c>
      <c r="G28">
        <f>IF(C28=0,0,Tables!$B$8+8000-IF(B28&gt;=Tables!$B$7,Tables!$B$6,0)+IF(B28&lt;Tables!$B$27,Tables!$B$9,Tables!$B$10)-F28)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t="n">
        <v>0</v>
      </c>
      <c r="G29">
        <f>IF(C29=0,0,Tables!$B$8+8000-IF(B29&gt;=Tables!$B$7,Tables!$B$6,0)+IF(B29&lt;Tables!$B$27,Tables!$B$9,Tables!$B$10)-F29)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t="n">
        <v>0</v>
      </c>
      <c r="G30">
        <f>IF(C30=0,0,Tables!$B$8+8000-IF(B30&gt;=Tables!$B$7,Tables!$B$6,0)+IF(B30&lt;Tables!$B$27,Tables!$B$9,Tables!$B$10)-F30)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t="n">
        <v>0</v>
      </c>
      <c r="G31">
        <f>IF(C31=0,0,Tables!$B$8+8000-IF(B31&gt;=Tables!$B$7,Tables!$B$6,0)+IF(B31&lt;Tables!$B$27,Tables!$B$9,Tables!$B$10)-F31)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t="n">
        <v>0</v>
      </c>
      <c r="G32">
        <f>IF(C32=0,0,Tables!$B$8+8000-IF(B32&gt;=Tables!$B$7,Tables!$B$6,0)+IF(B32&lt;Tables!$B$27,Tables!$B$9,Tables!$B$10)-F32)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t="n">
        <v>0</v>
      </c>
      <c r="G33">
        <f>IF(C33=0,0,Tables!$B$8+8000-IF(B33&gt;=Tables!$B$7,Tables!$B$6,0)+IF(B33&lt;Tables!$B$27,Tables!$B$9,Tables!$B$10)-F33)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t="n">
        <v>0</v>
      </c>
      <c r="G34">
        <f>IF(C34=0,0,Tables!$B$8+8000-IF(B34&gt;=Tables!$B$7,Tables!$B$6,0)+IF(B34&lt;Tables!$B$27,Tables!$B$9,Tables!$B$10)-F34)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t="n">
        <v>0</v>
      </c>
      <c r="G35">
        <f>IF(C35=0,0,Tables!$B$8+8000-IF(B35&gt;=Tables!$B$7,Tables!$B$6,0)+IF(B35&lt;Tables!$B$27,Tables!$B$9,Tables!$B$10)-F35)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t="n">
        <v>0</v>
      </c>
      <c r="G36">
        <f>IF(C36=0,0,Tables!$B$8+8000-IF(B36&gt;=Tables!$B$7,Tables!$B$6,0)+IF(B36&lt;Tables!$B$27,Tables!$B$9,Tables!$B$10)-F36)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t="n">
        <v>0</v>
      </c>
      <c r="G37">
        <f>IF(C37=0,0,Tables!$B$8+8000-IF(B37&gt;=Tables!$B$7,Tables!$B$6,0)+IF(B37&lt;Tables!$B$27,Tables!$B$9,Tables!$B$10)-F37)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t="n">
        <v>0</v>
      </c>
      <c r="G38">
        <f>IF(C38=0,0,Tables!$B$8+8000-IF(B38&gt;=Tables!$B$7,Tables!$B$6,0)+IF(B38&lt;Tables!$B$27,Tables!$B$9,Tables!$B$10)-F38)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t="n">
        <v>0</v>
      </c>
      <c r="G39">
        <f>IF(C39=0,0,Tables!$B$8+8000-IF(B39&gt;=Tables!$B$7,Tables!$B$6,0)+IF(B39&lt;Tables!$B$27,Tables!$B$9,Tables!$B$10)-F39)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t="n">
        <v>0</v>
      </c>
      <c r="G40">
        <f>IF(C40=0,0,Tables!$B$8+8000-IF(B40&gt;=Tables!$B$7,Tables!$B$6,0)+IF(B40&lt;Tables!$B$27,Tables!$B$9,Tables!$B$10)-F40)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t="n">
        <v>0</v>
      </c>
      <c r="G41">
        <f>IF(C41=0,0,Tables!$B$8+8000-IF(B41&gt;=Tables!$B$7,Tables!$B$6,0)+IF(B41&lt;Tables!$B$27,Tables!$B$9,Tables!$B$10)-F41)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t="n">
        <v>0</v>
      </c>
      <c r="G42">
        <f>IF(C42=0,0,Tables!$B$8+8000-IF(B42&gt;=Tables!$B$7,Tables!$B$6,0)+IF(B42&lt;Tables!$B$27,Tables!$B$9,Tables!$B$10)-F42)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35"/>
  <sheetViews>
    <sheetView showGridLines="0" workbookViewId="0">
      <selection activeCell="A1" sqref="A1"/>
    </sheetView>
  </sheetViews>
  <sheetFormatPr baseColWidth="8" defaultRowHeight="15"/>
  <cols>
    <col width="44" customWidth="1" min="1" max="1"/>
    <col width="14" customWidth="1" min="2" max="2"/>
    <col width="16" customWidth="1" min="3" max="3"/>
    <col width="16" customWidth="1" min="4" max="4"/>
    <col width="58" customWidth="1" min="5" max="5"/>
    <col width="4" customWidth="1" min="6" max="6"/>
  </cols>
  <sheetData>
    <row r="1" ht="30" customHeight="1">
      <c r="A1" s="17" t="inlineStr">
        <is>
          <t>1 · YOUR STRESS TEST — enter your numbers</t>
        </is>
      </c>
      <c r="B1" s="1" t="n"/>
      <c r="C1" s="1" t="n"/>
      <c r="D1" s="1" t="n"/>
      <c r="E1" s="1" t="n"/>
      <c r="F1" s="1" t="n"/>
    </row>
    <row r="2" ht="18" customHeight="1">
      <c r="A2" s="18" t="inlineStr">
        <is>
          <t>EVERY RESULT RECOMPUTES FROM WHAT YOU TYPE</t>
        </is>
      </c>
      <c r="B2" s="1" t="n"/>
      <c r="C2" s="1" t="n"/>
      <c r="D2" s="1" t="n"/>
      <c r="E2" s="1" t="n"/>
      <c r="F2" s="1" t="n"/>
    </row>
    <row r="3">
      <c r="A3" s="2" t="n"/>
      <c r="B3" s="2" t="n"/>
      <c r="C3" s="2" t="n"/>
      <c r="D3" s="2" t="n"/>
      <c r="E3" s="2" t="n"/>
      <c r="F3" s="2" t="n"/>
    </row>
    <row r="4">
      <c r="A4" s="19" t="inlineStr">
        <is>
          <t>ACTIVE CASE</t>
        </is>
      </c>
      <c r="B4" s="2" t="n"/>
      <c r="C4" s="2" t="n"/>
      <c r="D4" s="20" t="inlineStr">
        <is>
          <t>Example case</t>
        </is>
      </c>
      <c r="E4" s="16" t="inlineStr">
        <is>
          <t>Chooses whose numbers drive every result. It opens on the Example case so you see a full result right away. Type your figures in the YOUR NUMBERS column, then switch this to “Your numbers” to make it yours — any cell you leave blank keeps the example value.</t>
        </is>
      </c>
      <c r="F4" s="2" t="n"/>
    </row>
    <row r="5">
      <c r="A5" s="21" t="inlineStr">
        <is>
          <t>Input</t>
        </is>
      </c>
      <c r="B5" s="22" t="inlineStr">
        <is>
          <t>Tag</t>
        </is>
      </c>
      <c r="C5" s="22" t="inlineStr">
        <is>
          <t>EXAMPLE</t>
        </is>
      </c>
      <c r="D5" s="22" t="inlineStr">
        <is>
          <t>YOUR NUMBERS</t>
        </is>
      </c>
      <c r="E5" s="21" t="inlineStr">
        <is>
          <t>Note</t>
        </is>
      </c>
      <c r="F5" s="2" t="n"/>
    </row>
    <row r="6">
      <c r="A6" s="23" t="inlineStr">
        <is>
          <t>ACCOUNTS</t>
        </is>
      </c>
      <c r="B6" s="24" t="n"/>
      <c r="C6" s="24" t="n"/>
      <c r="D6" s="24" t="n"/>
      <c r="E6" s="24" t="n"/>
      <c r="F6" s="2" t="n"/>
    </row>
    <row r="7" ht="26" customHeight="1">
      <c r="A7" s="10" t="inlineStr">
        <is>
          <t>Traditional (pre-tax) IRA / 401(k)</t>
        </is>
      </c>
      <c r="B7" s="12" t="inlineStr">
        <is>
          <t>ASSUMPTION</t>
        </is>
      </c>
      <c r="C7" s="25" t="n">
        <v>610000</v>
      </c>
      <c r="D7" s="26" t="n"/>
      <c r="E7" s="27" t="inlineStr">
        <is>
          <t>Today's balance across pre-tax accounts.</t>
        </is>
      </c>
      <c r="F7" s="2" t="n"/>
    </row>
    <row r="8" ht="26" customHeight="1">
      <c r="A8" s="10" t="inlineStr">
        <is>
          <t>Roth accounts</t>
        </is>
      </c>
      <c r="B8" s="12" t="inlineStr">
        <is>
          <t>ASSUMPTION</t>
        </is>
      </c>
      <c r="C8" s="25" t="n">
        <v>130000</v>
      </c>
      <c r="D8" s="26" t="n"/>
      <c r="E8" s="27" t="inlineStr">
        <is>
          <t>Qualified withdrawals are modeled tax-free.</t>
        </is>
      </c>
      <c r="F8" s="2" t="n"/>
    </row>
    <row r="9" ht="26" customHeight="1">
      <c r="A9" s="10" t="inlineStr">
        <is>
          <t>Taxable &amp; cash</t>
        </is>
      </c>
      <c r="B9" s="12" t="inlineStr">
        <is>
          <t>ASSUMPTION</t>
        </is>
      </c>
      <c r="C9" s="25" t="n">
        <v>100000</v>
      </c>
      <c r="D9" s="26" t="n"/>
      <c r="E9" s="27" t="inlineStr">
        <is>
          <t>Return drag is assumed embedded in the stated real return.</t>
        </is>
      </c>
      <c r="F9" s="2" t="n"/>
    </row>
    <row r="10">
      <c r="A10" s="23" t="inlineStr">
        <is>
          <t>HOME &amp; MORTGAGE</t>
        </is>
      </c>
      <c r="B10" s="24" t="n"/>
      <c r="C10" s="24" t="n"/>
      <c r="D10" s="24" t="n"/>
      <c r="E10" s="24" t="n"/>
      <c r="F10" s="2" t="n"/>
    </row>
    <row r="11" ht="26" customHeight="1">
      <c r="A11" s="10" t="inlineStr">
        <is>
          <t>Home value (context only)</t>
        </is>
      </c>
      <c r="B11" s="12" t="inlineStr">
        <is>
          <t>ASSUMPTION</t>
        </is>
      </c>
      <c r="C11" s="25" t="n">
        <v>475000</v>
      </c>
      <c r="D11" s="26" t="n"/>
      <c r="E11" s="27" t="inlineStr">
        <is>
          <t>Not used by the calculation — home equity is treated as a reserve, not income.</t>
        </is>
      </c>
      <c r="F11" s="2" t="n"/>
    </row>
    <row r="12" ht="26" customHeight="1">
      <c r="A12" s="10" t="inlineStr">
        <is>
          <t>Mortgage balance (context only)</t>
        </is>
      </c>
      <c r="B12" s="12" t="inlineStr">
        <is>
          <t>ASSUMPTION</t>
        </is>
      </c>
      <c r="C12" s="25" t="n">
        <v>75000</v>
      </c>
      <c r="D12" s="26" t="n"/>
      <c r="E12" s="27" t="inlineStr">
        <is>
          <t>Not used by the calculation.</t>
        </is>
      </c>
      <c r="F12" s="2" t="n"/>
    </row>
    <row r="13" ht="26" customHeight="1">
      <c r="A13" s="10" t="inlineStr">
        <is>
          <t>Mortgage rate (context only)</t>
        </is>
      </c>
      <c r="B13" s="12" t="inlineStr">
        <is>
          <t>ASSUMPTION</t>
        </is>
      </c>
      <c r="C13" s="28" t="n">
        <v>0.031</v>
      </c>
      <c r="D13" s="29" t="n"/>
      <c r="E13" s="27" t="inlineStr">
        <is>
          <t>Not used by the calculation.</t>
        </is>
      </c>
      <c r="F13" s="2" t="n"/>
    </row>
    <row r="14" ht="26" customHeight="1">
      <c r="A14" s="10" t="inlineStr">
        <is>
          <t>Mortgage annual payment</t>
        </is>
      </c>
      <c r="B14" s="12" t="inlineStr">
        <is>
          <t>ASSUMPTION</t>
        </is>
      </c>
      <c r="C14" s="25" t="n">
        <v>12000</v>
      </c>
      <c r="D14" s="26" t="n"/>
      <c r="E14" s="27" t="inlineStr">
        <is>
          <t>Included inside lifestyle spending, then removed once the mortgage ends.</t>
        </is>
      </c>
      <c r="F14" s="2" t="n"/>
    </row>
    <row r="15" ht="26" customHeight="1">
      <c r="A15" s="10" t="inlineStr">
        <is>
          <t>Mortgage ends at age</t>
        </is>
      </c>
      <c r="B15" s="12" t="inlineStr">
        <is>
          <t>ASSUMPTION</t>
        </is>
      </c>
      <c r="C15" s="30" t="n">
        <v>70</v>
      </c>
      <c r="D15" s="31" t="n"/>
      <c r="E15" s="27" t="inlineStr">
        <is>
          <t>From this age on, lifestyle spending drops by the payment.</t>
        </is>
      </c>
      <c r="F15" s="2" t="n"/>
    </row>
    <row r="16">
      <c r="A16" s="23" t="inlineStr">
        <is>
          <t>SPENDING</t>
        </is>
      </c>
      <c r="B16" s="24" t="n"/>
      <c r="C16" s="24" t="n"/>
      <c r="D16" s="24" t="n"/>
      <c r="E16" s="24" t="n"/>
      <c r="F16" s="2" t="n"/>
    </row>
    <row r="17" ht="26" customHeight="1">
      <c r="A17" s="10" t="inlineStr">
        <is>
          <t>Lifestyle spending per year (includes mortgage payment)</t>
        </is>
      </c>
      <c r="B17" s="12" t="inlineStr">
        <is>
          <t>ASSUMPTION</t>
        </is>
      </c>
      <c r="C17" s="25" t="n">
        <v>60000</v>
      </c>
      <c r="D17" s="26" t="n"/>
      <c r="E17" s="27" t="inlineStr">
        <is>
          <t>Everything except healthcare and federal tax. The $667 grid flexes this.</t>
        </is>
      </c>
      <c r="F17" s="2" t="n"/>
    </row>
    <row r="18" ht="26" customHeight="1">
      <c r="A18" s="10" t="inlineStr">
        <is>
          <t>Healthcare budget before Medicare (younger than 65)</t>
        </is>
      </c>
      <c r="B18" s="12" t="inlineStr">
        <is>
          <t>ASSUMPTION</t>
        </is>
      </c>
      <c r="C18" s="25" t="n">
        <v>18000</v>
      </c>
      <c r="D18" s="26" t="n"/>
      <c r="E18" s="27" t="inlineStr">
        <is>
          <t>Placeholder, not a quote — replace with a real local Marketplace quote.</t>
        </is>
      </c>
      <c r="F18" s="2" t="n"/>
    </row>
    <row r="19" ht="26" customHeight="1">
      <c r="A19" s="10" t="inlineStr">
        <is>
          <t>Healthcare budget on Medicare (65+)</t>
        </is>
      </c>
      <c r="B19" s="12" t="inlineStr">
        <is>
          <t>ASSUMPTION</t>
        </is>
      </c>
      <c r="C19" s="25" t="n">
        <v>13000</v>
      </c>
      <c r="D19" s="26" t="n"/>
      <c r="E19" s="27" t="inlineStr">
        <is>
          <t>Premiums plus out-of-pocket for two people, in today's dollars.</t>
        </is>
      </c>
      <c r="F19" s="2" t="n"/>
    </row>
    <row r="20">
      <c r="A20" s="23" t="inlineStr">
        <is>
          <t>SOCIAL SECURITY</t>
        </is>
      </c>
      <c r="B20" s="24" t="n"/>
      <c r="C20" s="24" t="n"/>
      <c r="D20" s="24" t="n"/>
      <c r="E20" s="24" t="n"/>
      <c r="F20" s="2" t="n"/>
    </row>
    <row r="21" ht="26" customHeight="1">
      <c r="A21" s="10" t="inlineStr">
        <is>
          <t>Person A benefit at full retirement age (monthly)</t>
        </is>
      </c>
      <c r="B21" s="12" t="inlineStr">
        <is>
          <t>ASSUMPTION</t>
        </is>
      </c>
      <c r="C21" s="25" t="n">
        <v>2700</v>
      </c>
      <c r="D21" s="26" t="n"/>
      <c r="E21" s="27" t="inlineStr">
        <is>
          <t>Put the HIGHER earner here — Person A is the one who delays in strategy 3.</t>
        </is>
      </c>
      <c r="F21" s="2" t="n"/>
    </row>
    <row r="22" ht="26" customHeight="1">
      <c r="A22" s="10" t="inlineStr">
        <is>
          <t>Person B benefit at full retirement age (monthly)</t>
        </is>
      </c>
      <c r="B22" s="12" t="inlineStr">
        <is>
          <t>ASSUMPTION</t>
        </is>
      </c>
      <c r="C22" s="25" t="n">
        <v>1600</v>
      </c>
      <c r="D22" s="26" t="n"/>
      <c r="E22" s="27" t="inlineStr">
        <is>
          <t>From each spouse's SSA statement, in today's dollars.</t>
        </is>
      </c>
      <c r="F22" s="2" t="n"/>
    </row>
    <row r="23">
      <c r="A23" s="23" t="inlineStr">
        <is>
          <t>AGES &amp; HORIZON</t>
        </is>
      </c>
      <c r="B23" s="24" t="n"/>
      <c r="C23" s="24" t="n"/>
      <c r="D23" s="24" t="n"/>
      <c r="E23" s="24" t="n"/>
      <c r="F23" s="2" t="n"/>
    </row>
    <row r="24" ht="26" customHeight="1">
      <c r="A24" s="10" t="inlineStr">
        <is>
          <t>Start age (both spouses)</t>
        </is>
      </c>
      <c r="B24" s="12" t="inlineStr">
        <is>
          <t>ASSUMPTION</t>
        </is>
      </c>
      <c r="C24" s="30" t="n">
        <v>62</v>
      </c>
      <c r="D24" s="31" t="n"/>
      <c r="E24" s="27" t="inlineStr">
        <is>
          <t>Same-age-couple simplification. Allowed range 55–70.</t>
        </is>
      </c>
      <c r="F24" s="2" t="n"/>
    </row>
    <row r="25" ht="26" customHeight="1">
      <c r="A25" s="10" t="inlineStr">
        <is>
          <t>First calendar year</t>
        </is>
      </c>
      <c r="B25" s="12" t="inlineStr">
        <is>
          <t>ASSUMPTION</t>
        </is>
      </c>
      <c r="C25" s="30" t="n">
        <v>2026</v>
      </c>
      <c r="D25" s="31" t="n"/>
      <c r="E25" s="27" t="inlineStr">
        <is>
          <t>Used only to label years on 3. Year by Year.</t>
        </is>
      </c>
      <c r="F25" s="2" t="n"/>
    </row>
    <row r="26" ht="26" customHeight="1">
      <c r="A26" s="10" t="inlineStr">
        <is>
          <t>Plan through age</t>
        </is>
      </c>
      <c r="B26" s="12" t="inlineStr">
        <is>
          <t>ASSUMPTION</t>
        </is>
      </c>
      <c r="C26" s="30" t="n">
        <v>95</v>
      </c>
      <c r="D26" s="32" t="inlineStr">
        <is>
          <t>—</t>
        </is>
      </c>
      <c r="E26" s="27" t="inlineStr">
        <is>
          <t>Fixed at 95 in this edition — both spouses modeled alive throughout.</t>
        </is>
      </c>
      <c r="F26" s="2" t="n"/>
    </row>
    <row r="27">
      <c r="A27" s="23" t="inlineStr">
        <is>
          <t>GUARDRAIL</t>
        </is>
      </c>
      <c r="B27" s="24" t="n"/>
      <c r="C27" s="24" t="n"/>
      <c r="D27" s="24" t="n"/>
      <c r="E27" s="24" t="n"/>
      <c r="F27" s="2" t="n"/>
    </row>
    <row r="28" ht="26" customHeight="1">
      <c r="A28" s="10" t="inlineStr">
        <is>
          <t>Use the guardrail rule?</t>
        </is>
      </c>
      <c r="B28" s="12" t="inlineStr">
        <is>
          <t>ASSUMPTION</t>
        </is>
      </c>
      <c r="C28" s="33" t="inlineStr">
        <is>
          <t>—</t>
        </is>
      </c>
      <c r="D28" s="34" t="inlineStr">
        <is>
          <t>NO</t>
        </is>
      </c>
      <c r="E28" s="27" t="inlineStr">
        <is>
          <t>One switch for whichever case is active. YES applies the rule to the strategy table; the comparison on 2. Results shows both regardless.</t>
        </is>
      </c>
      <c r="F28" s="2" t="n"/>
    </row>
    <row r="29" ht="26" customHeight="1">
      <c r="A29" s="10" t="inlineStr">
        <is>
          <t>Spending cut after a bad year</t>
        </is>
      </c>
      <c r="B29" s="12" t="inlineStr">
        <is>
          <t>ASSUMPTION</t>
        </is>
      </c>
      <c r="C29" s="25" t="n">
        <v>6000</v>
      </c>
      <c r="D29" s="26" t="n"/>
      <c r="E29" s="27" t="inlineStr">
        <is>
          <t>Subtracted from lifestyle spending for one year.</t>
        </is>
      </c>
      <c r="F29" s="2" t="n"/>
    </row>
    <row r="30" ht="26" customHeight="1">
      <c r="A30" s="10" t="inlineStr">
        <is>
          <t>“Bad year” trigger (real return below)</t>
        </is>
      </c>
      <c r="B30" s="12" t="inlineStr">
        <is>
          <t>ASSUMPTION</t>
        </is>
      </c>
      <c r="C30" s="35" t="n">
        <v>-0.05</v>
      </c>
      <c r="D30" s="36" t="n"/>
      <c r="E30" s="27" t="inlineStr">
        <is>
          <t>The cut applies the year after any return below this.</t>
        </is>
      </c>
      <c r="F30" s="2" t="n"/>
    </row>
    <row r="31">
      <c r="A31" s="2" t="n"/>
      <c r="B31" s="2" t="n"/>
      <c r="C31" s="2" t="n"/>
      <c r="D31" s="2" t="n"/>
      <c r="E31" s="2" t="n"/>
      <c r="F31" s="2" t="n"/>
    </row>
    <row r="32">
      <c r="A32" s="37" t="inlineStr">
        <is>
          <t>Same-age couple, married filing jointly, federal tax only. All dollars are today's (2026) purchasing power.</t>
        </is>
      </c>
      <c r="B32" s="2" t="n"/>
      <c r="C32" s="2" t="n"/>
      <c r="D32" s="2" t="n"/>
      <c r="E32" s="2" t="n"/>
      <c r="F32" s="2" t="n"/>
    </row>
    <row r="33">
      <c r="A33" s="38" t="inlineStr">
        <is>
          <t>The example couple is a fictional composite. This workbook is education, not financial, tax, or investment advice. Model outputs are illustrations under stated assumptions, not forecasts. Federal tax only, 2026 rules held constant in real dollars.</t>
        </is>
      </c>
      <c r="B33" s="2" t="n"/>
      <c r="C33" s="2" t="n"/>
      <c r="D33" s="2" t="n"/>
      <c r="E33" s="2" t="n"/>
      <c r="F33" s="2" t="n"/>
    </row>
    <row r="34">
      <c r="A34" s="2" t="n"/>
      <c r="B34" s="2" t="n"/>
      <c r="C34" s="2" t="n"/>
      <c r="D34" s="2" t="n"/>
      <c r="E34" s="2" t="n"/>
      <c r="F34" s="2" t="n"/>
    </row>
    <row r="35">
      <c r="A35" s="2" t="n"/>
      <c r="B35" s="2" t="n"/>
      <c r="C35" s="2" t="n"/>
      <c r="D35" s="2" t="n"/>
      <c r="E35" s="2" t="n"/>
      <c r="F35" s="2" t="n"/>
    </row>
  </sheetData>
  <sheetProtection selectLockedCells="0" selectUnlockedCells="0" sheet="1" objects="0" insertRows="1" insertHyperlinks="1" autoFilter="1" scenarios="0" formatColumns="0" deleteColumns="1" insertColumns="1" pivotTables="1" deleteRows="1" formatCells="0" formatRows="0" sort="1"/>
  <dataValidations count="3">
    <dataValidation sqref="D4" showDropDown="0" showInputMessage="0" showErrorMessage="1" allowBlank="0" errorTitle="Pick a case" error="Choose &quot;Your numbers&quot; or &quot;Example case&quot;." type="list">
      <formula1>"Your numbers,Example case"</formula1>
    </dataValidation>
    <dataValidation sqref="D28" showDropDown="0" showInputMessage="0" showErrorMessage="1" allowBlank="1" errorTitle="YES or NO" error="Type YES or NO." type="list">
      <formula1>"NO,YES"</formula1>
    </dataValidation>
    <dataValidation sqref="D24" showDropDown="0" showInputMessage="0" showErrorMessage="1" allowBlank="1" errorTitle="Start age" error="Start age must be a whole number from 55 to 70." type="whole" operator="between">
      <formula1>55</formula1>
      <formula2>70</formula2>
    </dataValidation>
  </dataValidations>
  <pageMargins left="0.75" right="0.75" top="1" bottom="1" header="0.5" footer="0.5"/>
</worksheet>
</file>

<file path=xl/worksheets/sheet20.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f>IF(AND(C2=1,A2&gt;0,E2&lt;Tables!$B$16),Tables!$B$15,0)</f>
        <v/>
      </c>
      <c r="G2">
        <f>IF(C2=0,0,Tables!$B$8-IF(B2&gt;=Tables!$B$7,Tables!$B$6,0)+IF(B2&lt;Tables!$B$27,Tables!$B$9,Tables!$B$10)-F2)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f>IF(AND(C3=1,A3&gt;0,E3&lt;Tables!$B$16),Tables!$B$15,0)</f>
        <v/>
      </c>
      <c r="G3">
        <f>IF(C3=0,0,Tables!$B$8-IF(B3&gt;=Tables!$B$7,Tables!$B$6,0)+IF(B3&lt;Tables!$B$27,Tables!$B$9,Tables!$B$10)-F3)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f>IF(AND(C4=1,A4&gt;0,E4&lt;Tables!$B$16),Tables!$B$15,0)</f>
        <v/>
      </c>
      <c r="G4">
        <f>IF(C4=0,0,Tables!$B$8-IF(B4&gt;=Tables!$B$7,Tables!$B$6,0)+IF(B4&lt;Tables!$B$27,Tables!$B$9,Tables!$B$10)-F4)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f>IF(AND(C5=1,A5&gt;0,E5&lt;Tables!$B$16),Tables!$B$15,0)</f>
        <v/>
      </c>
      <c r="G5">
        <f>IF(C5=0,0,Tables!$B$8-IF(B5&gt;=Tables!$B$7,Tables!$B$6,0)+IF(B5&lt;Tables!$B$27,Tables!$B$9,Tables!$B$10)-F5)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f>IF(AND(C6=1,A6&gt;0,E6&lt;Tables!$B$16),Tables!$B$15,0)</f>
        <v/>
      </c>
      <c r="G6">
        <f>IF(C6=0,0,Tables!$B$8-IF(B6&gt;=Tables!$B$7,Tables!$B$6,0)+IF(B6&lt;Tables!$B$27,Tables!$B$9,Tables!$B$10)-F6)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f>IF(AND(C7=1,A7&gt;0,E7&lt;Tables!$B$16),Tables!$B$15,0)</f>
        <v/>
      </c>
      <c r="G7">
        <f>IF(C7=0,0,Tables!$B$8-IF(B7&gt;=Tables!$B$7,Tables!$B$6,0)+IF(B7&lt;Tables!$B$27,Tables!$B$9,Tables!$B$10)-F7)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f>IF(AND(C8=1,A8&gt;0,E8&lt;Tables!$B$16),Tables!$B$15,0)</f>
        <v/>
      </c>
      <c r="G8">
        <f>IF(C8=0,0,Tables!$B$8-IF(B8&gt;=Tables!$B$7,Tables!$B$6,0)+IF(B8&lt;Tables!$B$27,Tables!$B$9,Tables!$B$10)-F8)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f>IF(AND(C9=1,A9&gt;0,E9&lt;Tables!$B$16),Tables!$B$15,0)</f>
        <v/>
      </c>
      <c r="G9">
        <f>IF(C9=0,0,Tables!$B$8-IF(B9&gt;=Tables!$B$7,Tables!$B$6,0)+IF(B9&lt;Tables!$B$27,Tables!$B$9,Tables!$B$10)-F9)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f>IF(AND(C10=1,A10&gt;0,E10&lt;Tables!$B$16),Tables!$B$15,0)</f>
        <v/>
      </c>
      <c r="G10">
        <f>IF(C10=0,0,Tables!$B$8-IF(B10&gt;=Tables!$B$7,Tables!$B$6,0)+IF(B10&lt;Tables!$B$27,Tables!$B$9,Tables!$B$10)-F10)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f>IF(AND(C11=1,A11&gt;0,E11&lt;Tables!$B$16),Tables!$B$15,0)</f>
        <v/>
      </c>
      <c r="G11">
        <f>IF(C11=0,0,Tables!$B$8-IF(B11&gt;=Tables!$B$7,Tables!$B$6,0)+IF(B11&lt;Tables!$B$27,Tables!$B$9,Tables!$B$10)-F11)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f>IF(AND(C12=1,A12&gt;0,E12&lt;Tables!$B$16),Tables!$B$15,0)</f>
        <v/>
      </c>
      <c r="G12">
        <f>IF(C12=0,0,Tables!$B$8-IF(B12&gt;=Tables!$B$7,Tables!$B$6,0)+IF(B12&lt;Tables!$B$27,Tables!$B$9,Tables!$B$10)-F12)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f>IF(AND(C13=1,A13&gt;0,E13&lt;Tables!$B$16),Tables!$B$15,0)</f>
        <v/>
      </c>
      <c r="G13">
        <f>IF(C13=0,0,Tables!$B$8-IF(B13&gt;=Tables!$B$7,Tables!$B$6,0)+IF(B13&lt;Tables!$B$27,Tables!$B$9,Tables!$B$10)-F13)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f>IF(AND(C14=1,A14&gt;0,E14&lt;Tables!$B$16),Tables!$B$15,0)</f>
        <v/>
      </c>
      <c r="G14">
        <f>IF(C14=0,0,Tables!$B$8-IF(B14&gt;=Tables!$B$7,Tables!$B$6,0)+IF(B14&lt;Tables!$B$27,Tables!$B$9,Tables!$B$10)-F14)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f>IF(AND(C15=1,A15&gt;0,E15&lt;Tables!$B$16),Tables!$B$15,0)</f>
        <v/>
      </c>
      <c r="G15">
        <f>IF(C15=0,0,Tables!$B$8-IF(B15&gt;=Tables!$B$7,Tables!$B$6,0)+IF(B15&lt;Tables!$B$27,Tables!$B$9,Tables!$B$10)-F15)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f>IF(AND(C16=1,A16&gt;0,E16&lt;Tables!$B$16),Tables!$B$15,0)</f>
        <v/>
      </c>
      <c r="G16">
        <f>IF(C16=0,0,Tables!$B$8-IF(B16&gt;=Tables!$B$7,Tables!$B$6,0)+IF(B16&lt;Tables!$B$27,Tables!$B$9,Tables!$B$10)-F16)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f>IF(AND(C17=1,A17&gt;0,E17&lt;Tables!$B$16),Tables!$B$15,0)</f>
        <v/>
      </c>
      <c r="G17">
        <f>IF(C17=0,0,Tables!$B$8-IF(B17&gt;=Tables!$B$7,Tables!$B$6,0)+IF(B17&lt;Tables!$B$27,Tables!$B$9,Tables!$B$10)-F17)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f>IF(AND(C18=1,A18&gt;0,E18&lt;Tables!$B$16),Tables!$B$15,0)</f>
        <v/>
      </c>
      <c r="G18">
        <f>IF(C18=0,0,Tables!$B$8-IF(B18&gt;=Tables!$B$7,Tables!$B$6,0)+IF(B18&lt;Tables!$B$27,Tables!$B$9,Tables!$B$10)-F18)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f>IF(AND(C19=1,A19&gt;0,E19&lt;Tables!$B$16),Tables!$B$15,0)</f>
        <v/>
      </c>
      <c r="G19">
        <f>IF(C19=0,0,Tables!$B$8-IF(B19&gt;=Tables!$B$7,Tables!$B$6,0)+IF(B19&lt;Tables!$B$27,Tables!$B$9,Tables!$B$10)-F19)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f>IF(AND(C20=1,A20&gt;0,E20&lt;Tables!$B$16),Tables!$B$15,0)</f>
        <v/>
      </c>
      <c r="G20">
        <f>IF(C20=0,0,Tables!$B$8-IF(B20&gt;=Tables!$B$7,Tables!$B$6,0)+IF(B20&lt;Tables!$B$27,Tables!$B$9,Tables!$B$10)-F20)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f>IF(AND(C21=1,A21&gt;0,E21&lt;Tables!$B$16),Tables!$B$15,0)</f>
        <v/>
      </c>
      <c r="G21">
        <f>IF(C21=0,0,Tables!$B$8-IF(B21&gt;=Tables!$B$7,Tables!$B$6,0)+IF(B21&lt;Tables!$B$27,Tables!$B$9,Tables!$B$10)-F21)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f>IF(AND(C22=1,A22&gt;0,E22&lt;Tables!$B$16),Tables!$B$15,0)</f>
        <v/>
      </c>
      <c r="G22">
        <f>IF(C22=0,0,Tables!$B$8-IF(B22&gt;=Tables!$B$7,Tables!$B$6,0)+IF(B22&lt;Tables!$B$27,Tables!$B$9,Tables!$B$10)-F22)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f>IF(AND(C23=1,A23&gt;0,E23&lt;Tables!$B$16),Tables!$B$15,0)</f>
        <v/>
      </c>
      <c r="G23">
        <f>IF(C23=0,0,Tables!$B$8-IF(B23&gt;=Tables!$B$7,Tables!$B$6,0)+IF(B23&lt;Tables!$B$27,Tables!$B$9,Tables!$B$10)-F23)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f>IF(AND(C24=1,A24&gt;0,E24&lt;Tables!$B$16),Tables!$B$15,0)</f>
        <v/>
      </c>
      <c r="G24">
        <f>IF(C24=0,0,Tables!$B$8-IF(B24&gt;=Tables!$B$7,Tables!$B$6,0)+IF(B24&lt;Tables!$B$27,Tables!$B$9,Tables!$B$10)-F24)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f>IF(AND(C25=1,A25&gt;0,E25&lt;Tables!$B$16),Tables!$B$15,0)</f>
        <v/>
      </c>
      <c r="G25">
        <f>IF(C25=0,0,Tables!$B$8-IF(B25&gt;=Tables!$B$7,Tables!$B$6,0)+IF(B25&lt;Tables!$B$27,Tables!$B$9,Tables!$B$10)-F25)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f>IF(AND(C26=1,A26&gt;0,E26&lt;Tables!$B$16),Tables!$B$15,0)</f>
        <v/>
      </c>
      <c r="G26">
        <f>IF(C26=0,0,Tables!$B$8-IF(B26&gt;=Tables!$B$7,Tables!$B$6,0)+IF(B26&lt;Tables!$B$27,Tables!$B$9,Tables!$B$10)-F26)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f>IF(AND(C27=1,A27&gt;0,E27&lt;Tables!$B$16),Tables!$B$15,0)</f>
        <v/>
      </c>
      <c r="G27">
        <f>IF(C27=0,0,Tables!$B$8-IF(B27&gt;=Tables!$B$7,Tables!$B$6,0)+IF(B27&lt;Tables!$B$27,Tables!$B$9,Tables!$B$10)-F27)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f>IF(AND(C28=1,A28&gt;0,E28&lt;Tables!$B$16),Tables!$B$15,0)</f>
        <v/>
      </c>
      <c r="G28">
        <f>IF(C28=0,0,Tables!$B$8-IF(B28&gt;=Tables!$B$7,Tables!$B$6,0)+IF(B28&lt;Tables!$B$27,Tables!$B$9,Tables!$B$10)-F28)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f>IF(AND(C29=1,A29&gt;0,E29&lt;Tables!$B$16),Tables!$B$15,0)</f>
        <v/>
      </c>
      <c r="G29">
        <f>IF(C29=0,0,Tables!$B$8-IF(B29&gt;=Tables!$B$7,Tables!$B$6,0)+IF(B29&lt;Tables!$B$27,Tables!$B$9,Tables!$B$10)-F29)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f>IF(AND(C30=1,A30&gt;0,E30&lt;Tables!$B$16),Tables!$B$15,0)</f>
        <v/>
      </c>
      <c r="G30">
        <f>IF(C30=0,0,Tables!$B$8-IF(B30&gt;=Tables!$B$7,Tables!$B$6,0)+IF(B30&lt;Tables!$B$27,Tables!$B$9,Tables!$B$10)-F30)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f>IF(AND(C31=1,A31&gt;0,E31&lt;Tables!$B$16),Tables!$B$15,0)</f>
        <v/>
      </c>
      <c r="G31">
        <f>IF(C31=0,0,Tables!$B$8-IF(B31&gt;=Tables!$B$7,Tables!$B$6,0)+IF(B31&lt;Tables!$B$27,Tables!$B$9,Tables!$B$10)-F31)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f>IF(AND(C32=1,A32&gt;0,E32&lt;Tables!$B$16),Tables!$B$15,0)</f>
        <v/>
      </c>
      <c r="G32">
        <f>IF(C32=0,0,Tables!$B$8-IF(B32&gt;=Tables!$B$7,Tables!$B$6,0)+IF(B32&lt;Tables!$B$27,Tables!$B$9,Tables!$B$10)-F32)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f>IF(AND(C33=1,A33&gt;0,E33&lt;Tables!$B$16),Tables!$B$15,0)</f>
        <v/>
      </c>
      <c r="G33">
        <f>IF(C33=0,0,Tables!$B$8-IF(B33&gt;=Tables!$B$7,Tables!$B$6,0)+IF(B33&lt;Tables!$B$27,Tables!$B$9,Tables!$B$10)-F33)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f>IF(AND(C34=1,A34&gt;0,E34&lt;Tables!$B$16),Tables!$B$15,0)</f>
        <v/>
      </c>
      <c r="G34">
        <f>IF(C34=0,0,Tables!$B$8-IF(B34&gt;=Tables!$B$7,Tables!$B$6,0)+IF(B34&lt;Tables!$B$27,Tables!$B$9,Tables!$B$10)-F34)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f>IF(AND(C35=1,A35&gt;0,E35&lt;Tables!$B$16),Tables!$B$15,0)</f>
        <v/>
      </c>
      <c r="G35">
        <f>IF(C35=0,0,Tables!$B$8-IF(B35&gt;=Tables!$B$7,Tables!$B$6,0)+IF(B35&lt;Tables!$B$27,Tables!$B$9,Tables!$B$10)-F35)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f>IF(AND(C36=1,A36&gt;0,E36&lt;Tables!$B$16),Tables!$B$15,0)</f>
        <v/>
      </c>
      <c r="G36">
        <f>IF(C36=0,0,Tables!$B$8-IF(B36&gt;=Tables!$B$7,Tables!$B$6,0)+IF(B36&lt;Tables!$B$27,Tables!$B$9,Tables!$B$10)-F36)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f>IF(AND(C37=1,A37&gt;0,E37&lt;Tables!$B$16),Tables!$B$15,0)</f>
        <v/>
      </c>
      <c r="G37">
        <f>IF(C37=0,0,Tables!$B$8-IF(B37&gt;=Tables!$B$7,Tables!$B$6,0)+IF(B37&lt;Tables!$B$27,Tables!$B$9,Tables!$B$10)-F37)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f>IF(AND(C38=1,A38&gt;0,E38&lt;Tables!$B$16),Tables!$B$15,0)</f>
        <v/>
      </c>
      <c r="G38">
        <f>IF(C38=0,0,Tables!$B$8-IF(B38&gt;=Tables!$B$7,Tables!$B$6,0)+IF(B38&lt;Tables!$B$27,Tables!$B$9,Tables!$B$10)-F38)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f>IF(AND(C39=1,A39&gt;0,E39&lt;Tables!$B$16),Tables!$B$15,0)</f>
        <v/>
      </c>
      <c r="G39">
        <f>IF(C39=0,0,Tables!$B$8-IF(B39&gt;=Tables!$B$7,Tables!$B$6,0)+IF(B39&lt;Tables!$B$27,Tables!$B$9,Tables!$B$10)-F39)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f>IF(AND(C40=1,A40&gt;0,E40&lt;Tables!$B$16),Tables!$B$15,0)</f>
        <v/>
      </c>
      <c r="G40">
        <f>IF(C40=0,0,Tables!$B$8-IF(B40&gt;=Tables!$B$7,Tables!$B$6,0)+IF(B40&lt;Tables!$B$27,Tables!$B$9,Tables!$B$10)-F40)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f>IF(AND(C41=1,A41&gt;0,E41&lt;Tables!$B$16),Tables!$B$15,0)</f>
        <v/>
      </c>
      <c r="G41">
        <f>IF(C41=0,0,Tables!$B$8-IF(B41&gt;=Tables!$B$7,Tables!$B$6,0)+IF(B41&lt;Tables!$B$27,Tables!$B$9,Tables!$B$10)-F41)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f>IF(AND(C42=1,A42&gt;0,E42&lt;Tables!$B$16),Tables!$B$15,0)</f>
        <v/>
      </c>
      <c r="G42">
        <f>IF(C42=0,0,Tables!$B$8-IF(B42&gt;=Tables!$B$7,Tables!$B$6,0)+IF(B42&lt;Tables!$B$27,Tables!$B$9,Tables!$B$10)-F42)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E17"/>
  <sheetViews>
    <sheetView showGridLines="0" workbookViewId="0">
      <selection activeCell="A1" sqref="A1"/>
    </sheetView>
  </sheetViews>
  <sheetFormatPr baseColWidth="8" defaultRowHeight="15"/>
  <cols>
    <col width="52" customWidth="1" min="1" max="1"/>
    <col width="12" customWidth="1" min="2" max="2"/>
    <col width="34" customWidth="1" min="3" max="3"/>
    <col width="40" customWidth="1" min="4" max="4"/>
  </cols>
  <sheetData>
    <row r="1" ht="30" customHeight="1">
      <c r="A1" s="17" t="inlineStr">
        <is>
          <t>Sources — every FACT, receipted</t>
        </is>
      </c>
      <c r="B1" s="1" t="n"/>
      <c r="C1" s="1" t="n"/>
      <c r="D1" s="1" t="n"/>
      <c r="E1" s="2" t="n"/>
    </row>
    <row r="2" ht="18" customHeight="1">
      <c r="A2" s="18" t="inlineStr">
        <is>
          <t>RESEARCHED AS OF 2026-07-19</t>
        </is>
      </c>
      <c r="B2" s="1" t="n"/>
      <c r="C2" s="1" t="n"/>
      <c r="D2" s="1" t="n"/>
      <c r="E2" s="2" t="n"/>
    </row>
    <row r="3">
      <c r="A3" s="52" t="inlineStr">
        <is>
          <t>Constant</t>
        </is>
      </c>
      <c r="B3" s="52" t="inlineStr">
        <is>
          <t>Tag</t>
        </is>
      </c>
      <c r="C3" s="52" t="inlineStr">
        <is>
          <t>Source</t>
        </is>
      </c>
      <c r="D3" s="52" t="inlineStr">
        <is>
          <t>Note</t>
        </is>
      </c>
      <c r="E3" s="2" t="n"/>
    </row>
    <row r="4" ht="24" customHeight="1">
      <c r="A4" s="75" t="inlineStr">
        <is>
          <t>2026 MFJ ordinary income brackets (10%–37%)</t>
        </is>
      </c>
      <c r="B4" s="76" t="inlineStr">
        <is>
          <t>FACT</t>
        </is>
      </c>
      <c r="C4" s="46" t="inlineStr">
        <is>
          <t>IRS</t>
        </is>
      </c>
      <c r="D4" s="58" t="inlineStr">
        <is>
          <t>Rev. Proc. 2025-32 (2026 inflation adjustments)</t>
        </is>
      </c>
      <c r="E4" s="2" t="n"/>
    </row>
    <row r="5" ht="24" customHeight="1">
      <c r="A5" s="10" t="inlineStr">
        <is>
          <t>Standard deduction $32,200 (MFJ, 2026)</t>
        </is>
      </c>
      <c r="B5" s="11" t="inlineStr">
        <is>
          <t>FACT</t>
        </is>
      </c>
      <c r="C5" s="49" t="inlineStr">
        <is>
          <t>IRS</t>
        </is>
      </c>
      <c r="D5" s="27" t="inlineStr">
        <is>
          <t>Rev. Proc. 2025-32</t>
        </is>
      </c>
      <c r="E5" s="2" t="n"/>
    </row>
    <row r="6" ht="24" customHeight="1">
      <c r="A6" s="75" t="inlineStr">
        <is>
          <t>Additional standard deduction 65+, $1,650 each (2026)</t>
        </is>
      </c>
      <c r="B6" s="76" t="inlineStr">
        <is>
          <t>FACT</t>
        </is>
      </c>
      <c r="C6" s="46" t="inlineStr">
        <is>
          <t>IRS</t>
        </is>
      </c>
      <c r="D6" s="58" t="inlineStr">
        <is>
          <t>Rev. Proc. 2025-32</t>
        </is>
      </c>
      <c r="E6" s="2" t="n"/>
    </row>
    <row r="7" ht="24" customHeight="1">
      <c r="A7" s="10" t="inlineStr">
        <is>
          <t>Social Security taxability thresholds $32,000 / $44,000 (MFJ)</t>
        </is>
      </c>
      <c r="B7" s="11" t="inlineStr">
        <is>
          <t>FACT</t>
        </is>
      </c>
      <c r="C7" s="49" t="inlineStr">
        <is>
          <t>IRS</t>
        </is>
      </c>
      <c r="D7" s="27" t="inlineStr">
        <is>
          <t>Publication 915 worksheet</t>
        </is>
      </c>
      <c r="E7" s="2" t="n"/>
    </row>
    <row r="8" ht="24" customHeight="1">
      <c r="A8" s="75" t="inlineStr">
        <is>
          <t>Up to 85% of Social Security can be taxable — never an 85% tax rate</t>
        </is>
      </c>
      <c r="B8" s="76" t="inlineStr">
        <is>
          <t>FACT</t>
        </is>
      </c>
      <c r="C8" s="46" t="inlineStr">
        <is>
          <t>IRS</t>
        </is>
      </c>
      <c r="D8" s="58" t="inlineStr">
        <is>
          <t>Publication 915</t>
        </is>
      </c>
      <c r="E8" s="2" t="n"/>
    </row>
    <row r="9" ht="24" customHeight="1">
      <c r="A9" s="10" t="inlineStr">
        <is>
          <t>Full retirement age 67 for people born in 1960 or later</t>
        </is>
      </c>
      <c r="B9" s="11" t="inlineStr">
        <is>
          <t>FACT</t>
        </is>
      </c>
      <c r="C9" s="49" t="inlineStr">
        <is>
          <t>SSA</t>
        </is>
      </c>
      <c r="D9" s="27" t="inlineStr">
        <is>
          <t>ssa.gov — retirement age chart</t>
        </is>
      </c>
      <c r="E9" s="2" t="n"/>
    </row>
    <row r="10" ht="24" customHeight="1">
      <c r="A10" s="75" t="inlineStr">
        <is>
          <t>Claiming at 62 pays 70% of FRA; delaying to 70 pays 124%</t>
        </is>
      </c>
      <c r="B10" s="76" t="inlineStr">
        <is>
          <t>FACT</t>
        </is>
      </c>
      <c r="C10" s="46" t="inlineStr">
        <is>
          <t>SSA</t>
        </is>
      </c>
      <c r="D10" s="58" t="inlineStr">
        <is>
          <t>ssa.gov — early/delayed claiming</t>
        </is>
      </c>
      <c r="E10" s="2" t="n"/>
    </row>
    <row r="11" ht="24" customHeight="1">
      <c r="A11" s="10" t="inlineStr">
        <is>
          <t>RMDs begin at 75 for people born in 1960 or later</t>
        </is>
      </c>
      <c r="B11" s="11" t="inlineStr">
        <is>
          <t>FACT</t>
        </is>
      </c>
      <c r="C11" s="49" t="inlineStr">
        <is>
          <t>IRS / SECURE 2.0</t>
        </is>
      </c>
      <c r="D11" s="27" t="inlineStr">
        <is>
          <t>Pub. 590-B; SECURE 2.0 Act §107</t>
        </is>
      </c>
      <c r="E11" s="2" t="n"/>
    </row>
    <row r="12" ht="24" customHeight="1">
      <c r="A12" s="75" t="inlineStr">
        <is>
          <t>Uniform Lifetime Table divisors (ages 75–95)</t>
        </is>
      </c>
      <c r="B12" s="76" t="inlineStr">
        <is>
          <t>FACT</t>
        </is>
      </c>
      <c r="C12" s="46" t="inlineStr">
        <is>
          <t>IRS</t>
        </is>
      </c>
      <c r="D12" s="58" t="inlineStr">
        <is>
          <t>Publication 590-B, Table III</t>
        </is>
      </c>
      <c r="E12" s="2" t="n"/>
    </row>
    <row r="13" ht="24" customHeight="1">
      <c r="A13" s="10" t="inlineStr">
        <is>
          <t>Medicare eligibility at 65; 2026 Part B $202.90/mo, deductible $283</t>
        </is>
      </c>
      <c r="B13" s="11" t="inlineStr">
        <is>
          <t>FACT</t>
        </is>
      </c>
      <c r="C13" s="49" t="inlineStr">
        <is>
          <t>Medicare/CMS</t>
        </is>
      </c>
      <c r="D13" s="27" t="inlineStr">
        <is>
          <t>cms.gov 2026 premium notice (context only)</t>
        </is>
      </c>
      <c r="E13" s="2" t="n"/>
    </row>
    <row r="14">
      <c r="A14" s="2" t="n"/>
      <c r="B14" s="2" t="n"/>
      <c r="C14" s="2" t="n"/>
      <c r="D14" s="2" t="n"/>
      <c r="E14" s="2" t="n"/>
    </row>
    <row r="15">
      <c r="A15" s="37" t="inlineStr">
        <is>
          <t>The example numbers themselves (balances, spending, benefit estimates) are ASSUMPTIONS — a fictional composite, not data. Full method and receipts: moneyafterwork.org/model</t>
        </is>
      </c>
      <c r="B15" s="2" t="n"/>
      <c r="C15" s="2" t="n"/>
      <c r="D15" s="2" t="n"/>
      <c r="E15" s="2" t="n"/>
    </row>
    <row r="16">
      <c r="A16" s="2" t="n"/>
      <c r="B16" s="2" t="n"/>
      <c r="C16" s="2" t="n"/>
      <c r="D16" s="2" t="n"/>
      <c r="E16" s="2" t="n"/>
    </row>
    <row r="17">
      <c r="A17" s="2" t="n"/>
      <c r="B17" s="2" t="n"/>
      <c r="C17" s="2" t="n"/>
      <c r="D17" s="2" t="n"/>
      <c r="E17" s="2" t="n"/>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3.xml><?xml version="1.0" encoding="utf-8"?>
<worksheet xmlns="http://schemas.openxmlformats.org/spreadsheetml/2006/main">
  <sheetPr>
    <outlinePr summaryBelow="1" summaryRight="1"/>
    <pageSetUpPr/>
  </sheetPr>
  <dimension ref="A1:S56"/>
  <sheetViews>
    <sheetView showGridLines="0" workbookViewId="0">
      <selection activeCell="A1" sqref="A1"/>
    </sheetView>
  </sheetViews>
  <sheetFormatPr baseColWidth="8" defaultRowHeight="15"/>
  <cols>
    <col width="30" customWidth="1" min="1" max="1"/>
    <col width="13" customWidth="1" min="2" max="2"/>
    <col width="13" customWidth="1" min="3" max="3"/>
    <col width="11" customWidth="1" min="4" max="4"/>
    <col width="13" customWidth="1" min="5" max="5"/>
    <col width="13" customWidth="1" min="6" max="6"/>
    <col width="11" customWidth="1" min="7" max="7"/>
    <col width="3" customWidth="1" min="8" max="8"/>
    <col width="12" customWidth="1" min="9" max="9"/>
    <col width="12" customWidth="1" min="10" max="10"/>
    <col width="12" customWidth="1" min="11" max="11"/>
    <col width="12" customWidth="1" min="12" max="12"/>
    <col width="12" customWidth="1" min="13" max="13"/>
    <col width="12" customWidth="1" min="14" max="14"/>
    <col width="3" customWidth="1" min="15" max="15"/>
    <col width="7" customWidth="1" min="16" max="16"/>
    <col width="12" customWidth="1" min="17" max="17"/>
    <col width="12" customWidth="1" min="18" max="18"/>
  </cols>
  <sheetData>
    <row r="1" ht="30" customHeight="1">
      <c r="A1" s="17" t="inlineStr">
        <is>
          <t>2 · RESULTS — what the model says</t>
        </is>
      </c>
      <c r="B1" s="1" t="n"/>
      <c r="C1" s="1" t="n"/>
      <c r="D1" s="1" t="n"/>
      <c r="E1" s="1" t="n"/>
      <c r="F1" s="1" t="n"/>
      <c r="G1" s="1" t="n"/>
      <c r="H1" s="1" t="n"/>
      <c r="I1" s="1" t="n"/>
      <c r="J1" s="1" t="n"/>
      <c r="K1" s="1" t="n"/>
      <c r="L1" s="1" t="n"/>
      <c r="M1" s="1" t="n"/>
      <c r="N1" s="1" t="n"/>
      <c r="O1" s="2" t="n"/>
      <c r="P1" s="2" t="n"/>
      <c r="Q1" s="2" t="n"/>
      <c r="R1" s="2" t="n"/>
      <c r="S1" s="2" t="n"/>
    </row>
    <row r="2" ht="18" customHeight="1">
      <c r="A2" s="18" t="inlineStr">
        <is>
          <t>MODEL OUTPUT · EVERY NUMBER RECOMPUTES FROM YOUR STRESS TEST</t>
        </is>
      </c>
      <c r="B2" s="1" t="n"/>
      <c r="C2" s="1" t="n"/>
      <c r="D2" s="1" t="n"/>
      <c r="E2" s="1" t="n"/>
      <c r="F2" s="1" t="n"/>
      <c r="G2" s="1" t="n"/>
      <c r="H2" s="1" t="n"/>
      <c r="I2" s="1" t="n"/>
      <c r="J2" s="1" t="n"/>
      <c r="K2" s="1" t="n"/>
      <c r="L2" s="1" t="n"/>
      <c r="M2" s="1" t="n"/>
      <c r="N2" s="1" t="n"/>
      <c r="O2" s="2" t="n"/>
      <c r="P2" s="2" t="n"/>
      <c r="Q2" s="2" t="n"/>
      <c r="R2" s="2" t="n"/>
      <c r="S2" s="2" t="n"/>
    </row>
    <row r="3">
      <c r="A3" s="39" t="inlineStr">
        <is>
          <t>Showing:</t>
        </is>
      </c>
      <c r="B3" s="8">
        <f>'1. Your Stress Test'!$D$4</f>
        <v/>
      </c>
      <c r="C3" s="2" t="n"/>
      <c r="D3" s="2" t="n"/>
      <c r="E3" s="39" t="inlineStr">
        <is>
          <t>Guardrail toggle:</t>
        </is>
      </c>
      <c r="F3" s="8">
        <f>'1. Your Stress Test'!$D$28</f>
        <v/>
      </c>
      <c r="G3" s="2" t="n"/>
      <c r="H3" s="2" t="n"/>
      <c r="I3" s="2" t="n"/>
      <c r="J3" s="2" t="n"/>
      <c r="K3" s="2" t="n"/>
      <c r="L3" s="2" t="n"/>
      <c r="M3" s="2" t="n"/>
      <c r="N3" s="2" t="n"/>
      <c r="O3" s="2" t="n"/>
      <c r="P3" s="2" t="n"/>
      <c r="Q3" s="2" t="n"/>
      <c r="R3" s="2" t="n"/>
      <c r="S3" s="2" t="n"/>
    </row>
    <row r="4">
      <c r="A4" s="2" t="n"/>
      <c r="B4" s="2" t="n"/>
      <c r="C4" s="2" t="n"/>
      <c r="D4" s="2" t="n"/>
      <c r="E4" s="2" t="n"/>
      <c r="F4" s="2" t="n"/>
      <c r="G4" s="2" t="n"/>
      <c r="H4" s="2" t="n"/>
      <c r="I4" s="2" t="n"/>
      <c r="J4" s="2" t="n"/>
      <c r="K4" s="2" t="n"/>
      <c r="L4" s="2" t="n"/>
      <c r="M4" s="2" t="n"/>
      <c r="N4" s="2" t="n"/>
      <c r="O4" s="2" t="n"/>
      <c r="P4" s="40" t="inlineStr">
        <is>
          <t>chart data — do not edit</t>
        </is>
      </c>
      <c r="Q4" s="2" t="n"/>
      <c r="R4" s="2" t="n"/>
      <c r="S4" s="2" t="n"/>
    </row>
    <row r="5">
      <c r="A5" s="8" t="inlineStr">
        <is>
          <t>CLAIMING STRATEGIES — SMOOTH VS STRESS</t>
        </is>
      </c>
      <c r="B5" s="2" t="n"/>
      <c r="C5" s="2" t="n"/>
      <c r="D5" s="2" t="n"/>
      <c r="E5" s="2" t="n"/>
      <c r="F5" s="2" t="n"/>
      <c r="G5" s="13" t="inlineStr">
        <is>
          <t>MODEL OUTPUT</t>
        </is>
      </c>
      <c r="H5" s="2" t="n"/>
      <c r="I5" s="2" t="n"/>
      <c r="J5" s="2" t="n"/>
      <c r="K5" s="2" t="n"/>
      <c r="L5" s="2" t="n"/>
      <c r="M5" s="2" t="n"/>
      <c r="N5" s="2" t="n"/>
      <c r="O5" s="2" t="n"/>
      <c r="P5" s="41" t="inlineStr">
        <is>
          <t>age</t>
        </is>
      </c>
      <c r="Q5" s="41" t="inlineStr">
        <is>
          <t>Smooth path</t>
        </is>
      </c>
      <c r="R5" s="41" t="inlineStr">
        <is>
          <t>Stress path</t>
        </is>
      </c>
      <c r="S5" s="2" t="n"/>
    </row>
    <row r="6">
      <c r="A6" s="2" t="n"/>
      <c r="B6" s="42" t="inlineStr">
        <is>
          <t>SMOOTH PATH (3% real every year)</t>
        </is>
      </c>
      <c r="C6" s="2" t="n"/>
      <c r="D6" s="2" t="n"/>
      <c r="E6" s="42" t="inlineStr">
        <is>
          <t>STRESS PATH (−20%, −8%, +2%, +5%, +7%, then 3%)</t>
        </is>
      </c>
      <c r="F6" s="2" t="n"/>
      <c r="G6" s="2" t="n"/>
      <c r="H6" s="2" t="n"/>
      <c r="I6" s="2" t="n"/>
      <c r="J6" s="2" t="n"/>
      <c r="K6" s="2" t="n"/>
      <c r="L6" s="2" t="n"/>
      <c r="M6" s="2" t="n"/>
      <c r="N6" s="2" t="n"/>
      <c r="O6" s="2" t="n"/>
      <c r="P6" s="43">
        <f>MIN(Tables!$B$13+0,Tables!$B$18)</f>
        <v/>
      </c>
      <c r="Q6" s="43">
        <f>IF('2. Results'!$C$35="Both claim at 62",INDEX(ENG_S1_BASE!$CC$2:$CC$42,0+1),IF('2. Results'!$C$35="Both claim at 67",INDEX(ENG_S2_BASE!$CC$2:$CC$42,0+1),INDEX(ENG_S3_BASE!$CC$2:$CC$42,0+1)))</f>
        <v/>
      </c>
      <c r="R6" s="43">
        <f>IF('2. Results'!$C$35="Both claim at 62",INDEX(ENG_S1_STRESS!$CC$2:$CC$42,0+1),IF('2. Results'!$C$35="Both claim at 67",INDEX(ENG_S2_STRESS!$CC$2:$CC$42,0+1),INDEX(ENG_S3_STRESS!$CC$2:$CC$42,0+1)))</f>
        <v/>
      </c>
      <c r="S6" s="2" t="n"/>
    </row>
    <row r="7">
      <c r="A7" s="44" t="inlineStr">
        <is>
          <t>Strategy</t>
        </is>
      </c>
      <c r="B7" s="45" t="inlineStr">
        <is>
          <t>Ends at 95</t>
        </is>
      </c>
      <c r="C7" s="45" t="inlineStr">
        <is>
          <t>Lowest year</t>
        </is>
      </c>
      <c r="D7" s="45" t="inlineStr">
        <is>
          <t>Runs out</t>
        </is>
      </c>
      <c r="E7" s="45" t="inlineStr">
        <is>
          <t>Ends at 95</t>
        </is>
      </c>
      <c r="F7" s="45" t="inlineStr">
        <is>
          <t>Lowest year</t>
        </is>
      </c>
      <c r="G7" s="45" t="inlineStr">
        <is>
          <t>Runs out</t>
        </is>
      </c>
      <c r="H7" s="2" t="n"/>
      <c r="I7" s="2" t="n"/>
      <c r="J7" s="2" t="n"/>
      <c r="K7" s="2" t="n"/>
      <c r="L7" s="2" t="n"/>
      <c r="M7" s="2" t="n"/>
      <c r="N7" s="2" t="n"/>
      <c r="O7" s="2" t="n"/>
      <c r="P7" s="43">
        <f>MIN(Tables!$B$13+1,Tables!$B$18)</f>
        <v/>
      </c>
      <c r="Q7" s="43">
        <f>IF('2. Results'!$C$35="Both claim at 62",INDEX(ENG_S1_BASE!$CC$2:$CC$42,1+1),IF('2. Results'!$C$35="Both claim at 67",INDEX(ENG_S2_BASE!$CC$2:$CC$42,1+1),INDEX(ENG_S3_BASE!$CC$2:$CC$42,1+1)))</f>
        <v/>
      </c>
      <c r="R7" s="43">
        <f>IF('2. Results'!$C$35="Both claim at 62",INDEX(ENG_S1_STRESS!$CC$2:$CC$42,1+1),IF('2. Results'!$C$35="Both claim at 67",INDEX(ENG_S2_STRESS!$CC$2:$CC$42,1+1),INDEX(ENG_S3_STRESS!$CC$2:$CC$42,1+1)))</f>
        <v/>
      </c>
      <c r="S7" s="2" t="n"/>
    </row>
    <row r="8">
      <c r="A8" s="46" t="inlineStr">
        <is>
          <t>Both claim at 62</t>
        </is>
      </c>
      <c r="B8" s="47">
        <f>ENG_S1_BASE!$B$45</f>
        <v/>
      </c>
      <c r="C8" s="47">
        <f>ENG_S1_BASE!$B$46</f>
        <v/>
      </c>
      <c r="D8" s="48">
        <f>ENG_S1_BASE!$B$48</f>
        <v/>
      </c>
      <c r="E8" s="47">
        <f>ENG_S1_STRESS!$B$45</f>
        <v/>
      </c>
      <c r="F8" s="47">
        <f>ENG_S1_STRESS!$B$46</f>
        <v/>
      </c>
      <c r="G8" s="48">
        <f>ENG_S1_STRESS!$B$48</f>
        <v/>
      </c>
      <c r="H8" s="2" t="n"/>
      <c r="I8" s="2" t="n"/>
      <c r="J8" s="2" t="n"/>
      <c r="K8" s="2" t="n"/>
      <c r="L8" s="2" t="n"/>
      <c r="M8" s="2" t="n"/>
      <c r="N8" s="2" t="n"/>
      <c r="O8" s="2" t="n"/>
      <c r="P8" s="43">
        <f>MIN(Tables!$B$13+2,Tables!$B$18)</f>
        <v/>
      </c>
      <c r="Q8" s="43">
        <f>IF('2. Results'!$C$35="Both claim at 62",INDEX(ENG_S1_BASE!$CC$2:$CC$42,2+1),IF('2. Results'!$C$35="Both claim at 67",INDEX(ENG_S2_BASE!$CC$2:$CC$42,2+1),INDEX(ENG_S3_BASE!$CC$2:$CC$42,2+1)))</f>
        <v/>
      </c>
      <c r="R8" s="43">
        <f>IF('2. Results'!$C$35="Both claim at 62",INDEX(ENG_S1_STRESS!$CC$2:$CC$42,2+1),IF('2. Results'!$C$35="Both claim at 67",INDEX(ENG_S2_STRESS!$CC$2:$CC$42,2+1),INDEX(ENG_S3_STRESS!$CC$2:$CC$42,2+1)))</f>
        <v/>
      </c>
      <c r="S8" s="2" t="n"/>
    </row>
    <row r="9">
      <c r="A9" s="49" t="inlineStr">
        <is>
          <t>Both claim at 67</t>
        </is>
      </c>
      <c r="B9" s="50">
        <f>ENG_S2_BASE!$B$45</f>
        <v/>
      </c>
      <c r="C9" s="50">
        <f>ENG_S2_BASE!$B$46</f>
        <v/>
      </c>
      <c r="D9" s="51">
        <f>ENG_S2_BASE!$B$48</f>
        <v/>
      </c>
      <c r="E9" s="50">
        <f>ENG_S2_STRESS!$B$45</f>
        <v/>
      </c>
      <c r="F9" s="50">
        <f>ENG_S2_STRESS!$B$46</f>
        <v/>
      </c>
      <c r="G9" s="51">
        <f>ENG_S2_STRESS!$B$48</f>
        <v/>
      </c>
      <c r="H9" s="2" t="n"/>
      <c r="I9" s="2" t="n"/>
      <c r="J9" s="2" t="n"/>
      <c r="K9" s="2" t="n"/>
      <c r="L9" s="2" t="n"/>
      <c r="M9" s="2" t="n"/>
      <c r="N9" s="2" t="n"/>
      <c r="O9" s="2" t="n"/>
      <c r="P9" s="43">
        <f>MIN(Tables!$B$13+3,Tables!$B$18)</f>
        <v/>
      </c>
      <c r="Q9" s="43">
        <f>IF('2. Results'!$C$35="Both claim at 62",INDEX(ENG_S1_BASE!$CC$2:$CC$42,3+1),IF('2. Results'!$C$35="Both claim at 67",INDEX(ENG_S2_BASE!$CC$2:$CC$42,3+1),INDEX(ENG_S3_BASE!$CC$2:$CC$42,3+1)))</f>
        <v/>
      </c>
      <c r="R9" s="43">
        <f>IF('2. Results'!$C$35="Both claim at 62",INDEX(ENG_S1_STRESS!$CC$2:$CC$42,3+1),IF('2. Results'!$C$35="Both claim at 67",INDEX(ENG_S2_STRESS!$CC$2:$CC$42,3+1),INDEX(ENG_S3_STRESS!$CC$2:$CC$42,3+1)))</f>
        <v/>
      </c>
      <c r="S9" s="2" t="n"/>
    </row>
    <row r="10">
      <c r="A10" s="46" t="inlineStr">
        <is>
          <t>A delays to 70, B claims at 62</t>
        </is>
      </c>
      <c r="B10" s="47">
        <f>ENG_S3_BASE!$B$45</f>
        <v/>
      </c>
      <c r="C10" s="47">
        <f>ENG_S3_BASE!$B$46</f>
        <v/>
      </c>
      <c r="D10" s="48">
        <f>ENG_S3_BASE!$B$48</f>
        <v/>
      </c>
      <c r="E10" s="47">
        <f>ENG_S3_STRESS!$B$45</f>
        <v/>
      </c>
      <c r="F10" s="47">
        <f>ENG_S3_STRESS!$B$46</f>
        <v/>
      </c>
      <c r="G10" s="48">
        <f>ENG_S3_STRESS!$B$48</f>
        <v/>
      </c>
      <c r="H10" s="2" t="n"/>
      <c r="I10" s="2" t="n"/>
      <c r="J10" s="2" t="n"/>
      <c r="K10" s="2" t="n"/>
      <c r="L10" s="2" t="n"/>
      <c r="M10" s="2" t="n"/>
      <c r="N10" s="2" t="n"/>
      <c r="O10" s="2" t="n"/>
      <c r="P10" s="43">
        <f>MIN(Tables!$B$13+4,Tables!$B$18)</f>
        <v/>
      </c>
      <c r="Q10" s="43">
        <f>IF('2. Results'!$C$35="Both claim at 62",INDEX(ENG_S1_BASE!$CC$2:$CC$42,4+1),IF('2. Results'!$C$35="Both claim at 67",INDEX(ENG_S2_BASE!$CC$2:$CC$42,4+1),INDEX(ENG_S3_BASE!$CC$2:$CC$42,4+1)))</f>
        <v/>
      </c>
      <c r="R10" s="43">
        <f>IF('2. Results'!$C$35="Both claim at 62",INDEX(ENG_S1_STRESS!$CC$2:$CC$42,4+1),IF('2. Results'!$C$35="Both claim at 67",INDEX(ENG_S2_STRESS!$CC$2:$CC$42,4+1),INDEX(ENG_S3_STRESS!$CC$2:$CC$42,4+1)))</f>
        <v/>
      </c>
      <c r="S10" s="2" t="n"/>
    </row>
    <row r="11">
      <c r="A11" s="2" t="n"/>
      <c r="B11" s="2" t="n"/>
      <c r="C11" s="2" t="n"/>
      <c r="D11" s="2" t="n"/>
      <c r="E11" s="2" t="n"/>
      <c r="F11" s="2" t="n"/>
      <c r="G11" s="2" t="n"/>
      <c r="H11" s="2" t="n"/>
      <c r="I11" s="2" t="n"/>
      <c r="J11" s="2" t="n"/>
      <c r="K11" s="2" t="n"/>
      <c r="L11" s="2" t="n"/>
      <c r="M11" s="2" t="n"/>
      <c r="N11" s="2" t="n"/>
      <c r="O11" s="2" t="n"/>
      <c r="P11" s="43">
        <f>MIN(Tables!$B$13+5,Tables!$B$18)</f>
        <v/>
      </c>
      <c r="Q11" s="43">
        <f>IF('2. Results'!$C$35="Both claim at 62",INDEX(ENG_S1_BASE!$CC$2:$CC$42,5+1),IF('2. Results'!$C$35="Both claim at 67",INDEX(ENG_S2_BASE!$CC$2:$CC$42,5+1),INDEX(ENG_S3_BASE!$CC$2:$CC$42,5+1)))</f>
        <v/>
      </c>
      <c r="R11" s="43">
        <f>IF('2. Results'!$C$35="Both claim at 62",INDEX(ENG_S1_STRESS!$CC$2:$CC$42,5+1),IF('2. Results'!$C$35="Both claim at 67",INDEX(ENG_S2_STRESS!$CC$2:$CC$42,5+1),INDEX(ENG_S3_STRESS!$CC$2:$CC$42,5+1)))</f>
        <v/>
      </c>
      <c r="S11" s="2" t="n"/>
    </row>
    <row r="12">
      <c r="A12" s="8" t="inlineStr">
        <is>
          <t>SOCIAL SECURITY — ANNUAL BENEFIT BY AGE</t>
        </is>
      </c>
      <c r="B12" s="2" t="n"/>
      <c r="C12" s="2" t="n"/>
      <c r="D12" s="13" t="inlineStr">
        <is>
          <t>MODEL OUTPUT</t>
        </is>
      </c>
      <c r="E12" s="2" t="n"/>
      <c r="F12" s="2" t="n"/>
      <c r="G12" s="2" t="n"/>
      <c r="H12" s="2" t="n"/>
      <c r="I12" s="2" t="n"/>
      <c r="J12" s="2" t="n"/>
      <c r="K12" s="2" t="n"/>
      <c r="L12" s="2" t="n"/>
      <c r="M12" s="2" t="n"/>
      <c r="N12" s="2" t="n"/>
      <c r="O12" s="2" t="n"/>
      <c r="P12" s="43">
        <f>MIN(Tables!$B$13+6,Tables!$B$18)</f>
        <v/>
      </c>
      <c r="Q12" s="43">
        <f>IF('2. Results'!$C$35="Both claim at 62",INDEX(ENG_S1_BASE!$CC$2:$CC$42,6+1),IF('2. Results'!$C$35="Both claim at 67",INDEX(ENG_S2_BASE!$CC$2:$CC$42,6+1),INDEX(ENG_S3_BASE!$CC$2:$CC$42,6+1)))</f>
        <v/>
      </c>
      <c r="R12" s="43">
        <f>IF('2. Results'!$C$35="Both claim at 62",INDEX(ENG_S1_STRESS!$CC$2:$CC$42,6+1),IF('2. Results'!$C$35="Both claim at 67",INDEX(ENG_S2_STRESS!$CC$2:$CC$42,6+1),INDEX(ENG_S3_STRESS!$CC$2:$CC$42,6+1)))</f>
        <v/>
      </c>
      <c r="S12" s="2" t="n"/>
    </row>
    <row r="13">
      <c r="A13" s="44" t="inlineStr">
        <is>
          <t>Strategy</t>
        </is>
      </c>
      <c r="B13" s="45" t="inlineStr">
        <is>
          <t>At 62</t>
        </is>
      </c>
      <c r="C13" s="45" t="inlineStr">
        <is>
          <t>At 67</t>
        </is>
      </c>
      <c r="D13" s="45" t="inlineStr">
        <is>
          <t>At 70</t>
        </is>
      </c>
      <c r="E13" s="2" t="n"/>
      <c r="F13" s="2" t="n"/>
      <c r="G13" s="2" t="n"/>
      <c r="H13" s="2" t="n"/>
      <c r="I13" s="2" t="n"/>
      <c r="J13" s="2" t="n"/>
      <c r="K13" s="2" t="n"/>
      <c r="L13" s="2" t="n"/>
      <c r="M13" s="2" t="n"/>
      <c r="N13" s="2" t="n"/>
      <c r="O13" s="2" t="n"/>
      <c r="P13" s="43">
        <f>MIN(Tables!$B$13+7,Tables!$B$18)</f>
        <v/>
      </c>
      <c r="Q13" s="43">
        <f>IF('2. Results'!$C$35="Both claim at 62",INDEX(ENG_S1_BASE!$CC$2:$CC$42,7+1),IF('2. Results'!$C$35="Both claim at 67",INDEX(ENG_S2_BASE!$CC$2:$CC$42,7+1),INDEX(ENG_S3_BASE!$CC$2:$CC$42,7+1)))</f>
        <v/>
      </c>
      <c r="R13" s="43">
        <f>IF('2. Results'!$C$35="Both claim at 62",INDEX(ENG_S1_STRESS!$CC$2:$CC$42,7+1),IF('2. Results'!$C$35="Both claim at 67",INDEX(ENG_S2_STRESS!$CC$2:$CC$42,7+1),INDEX(ENG_S3_STRESS!$CC$2:$CC$42,7+1)))</f>
        <v/>
      </c>
      <c r="S13" s="2" t="n"/>
    </row>
    <row r="14">
      <c r="A14" s="46" t="inlineStr">
        <is>
          <t>Both claim at 62</t>
        </is>
      </c>
      <c r="B14" s="47">
        <f>IF(62&gt;=Tables!$B$77,Tables!$D$77,0)+IF(62&gt;=Tables!$C$77,Tables!$E$77,0)</f>
        <v/>
      </c>
      <c r="C14" s="47">
        <f>IF(67&gt;=Tables!$B$77,Tables!$D$77,0)+IF(67&gt;=Tables!$C$77,Tables!$E$77,0)</f>
        <v/>
      </c>
      <c r="D14" s="47">
        <f>IF(70&gt;=Tables!$B$77,Tables!$D$77,0)+IF(70&gt;=Tables!$C$77,Tables!$E$77,0)</f>
        <v/>
      </c>
      <c r="E14" s="2" t="n"/>
      <c r="F14" s="2" t="n"/>
      <c r="G14" s="2" t="n"/>
      <c r="H14" s="2" t="n"/>
      <c r="I14" s="2" t="n"/>
      <c r="J14" s="2" t="n"/>
      <c r="K14" s="2" t="n"/>
      <c r="L14" s="2" t="n"/>
      <c r="M14" s="2" t="n"/>
      <c r="N14" s="2" t="n"/>
      <c r="O14" s="2" t="n"/>
      <c r="P14" s="43">
        <f>MIN(Tables!$B$13+8,Tables!$B$18)</f>
        <v/>
      </c>
      <c r="Q14" s="43">
        <f>IF('2. Results'!$C$35="Both claim at 62",INDEX(ENG_S1_BASE!$CC$2:$CC$42,8+1),IF('2. Results'!$C$35="Both claim at 67",INDEX(ENG_S2_BASE!$CC$2:$CC$42,8+1),INDEX(ENG_S3_BASE!$CC$2:$CC$42,8+1)))</f>
        <v/>
      </c>
      <c r="R14" s="43">
        <f>IF('2. Results'!$C$35="Both claim at 62",INDEX(ENG_S1_STRESS!$CC$2:$CC$42,8+1),IF('2. Results'!$C$35="Both claim at 67",INDEX(ENG_S2_STRESS!$CC$2:$CC$42,8+1),INDEX(ENG_S3_STRESS!$CC$2:$CC$42,8+1)))</f>
        <v/>
      </c>
      <c r="S14" s="2" t="n"/>
    </row>
    <row r="15">
      <c r="A15" s="49" t="inlineStr">
        <is>
          <t>Both claim at 67</t>
        </is>
      </c>
      <c r="B15" s="50">
        <f>IF(62&gt;=Tables!$B$78,Tables!$D$78,0)+IF(62&gt;=Tables!$C$78,Tables!$E$78,0)</f>
        <v/>
      </c>
      <c r="C15" s="50">
        <f>IF(67&gt;=Tables!$B$78,Tables!$D$78,0)+IF(67&gt;=Tables!$C$78,Tables!$E$78,0)</f>
        <v/>
      </c>
      <c r="D15" s="50">
        <f>IF(70&gt;=Tables!$B$78,Tables!$D$78,0)+IF(70&gt;=Tables!$C$78,Tables!$E$78,0)</f>
        <v/>
      </c>
      <c r="E15" s="2" t="n"/>
      <c r="F15" s="2" t="n"/>
      <c r="G15" s="2" t="n"/>
      <c r="H15" s="2" t="n"/>
      <c r="I15" s="2" t="n"/>
      <c r="J15" s="2" t="n"/>
      <c r="K15" s="2" t="n"/>
      <c r="L15" s="2" t="n"/>
      <c r="M15" s="2" t="n"/>
      <c r="N15" s="2" t="n"/>
      <c r="O15" s="2" t="n"/>
      <c r="P15" s="43">
        <f>MIN(Tables!$B$13+9,Tables!$B$18)</f>
        <v/>
      </c>
      <c r="Q15" s="43">
        <f>IF('2. Results'!$C$35="Both claim at 62",INDEX(ENG_S1_BASE!$CC$2:$CC$42,9+1),IF('2. Results'!$C$35="Both claim at 67",INDEX(ENG_S2_BASE!$CC$2:$CC$42,9+1),INDEX(ENG_S3_BASE!$CC$2:$CC$42,9+1)))</f>
        <v/>
      </c>
      <c r="R15" s="43">
        <f>IF('2. Results'!$C$35="Both claim at 62",INDEX(ENG_S1_STRESS!$CC$2:$CC$42,9+1),IF('2. Results'!$C$35="Both claim at 67",INDEX(ENG_S2_STRESS!$CC$2:$CC$42,9+1),INDEX(ENG_S3_STRESS!$CC$2:$CC$42,9+1)))</f>
        <v/>
      </c>
      <c r="S15" s="2" t="n"/>
    </row>
    <row r="16">
      <c r="A16" s="46" t="inlineStr">
        <is>
          <t>A delays to 70, B claims at 62</t>
        </is>
      </c>
      <c r="B16" s="47">
        <f>IF(62&gt;=Tables!$B$79,Tables!$D$79,0)+IF(62&gt;=Tables!$C$79,Tables!$E$79,0)</f>
        <v/>
      </c>
      <c r="C16" s="47">
        <f>IF(67&gt;=Tables!$B$79,Tables!$D$79,0)+IF(67&gt;=Tables!$C$79,Tables!$E$79,0)</f>
        <v/>
      </c>
      <c r="D16" s="47">
        <f>IF(70&gt;=Tables!$B$79,Tables!$D$79,0)+IF(70&gt;=Tables!$C$79,Tables!$E$79,0)</f>
        <v/>
      </c>
      <c r="E16" s="2" t="n"/>
      <c r="F16" s="2" t="n"/>
      <c r="G16" s="2" t="n"/>
      <c r="H16" s="2" t="n"/>
      <c r="I16" s="2" t="n"/>
      <c r="J16" s="2" t="n"/>
      <c r="K16" s="2" t="n"/>
      <c r="L16" s="2" t="n"/>
      <c r="M16" s="2" t="n"/>
      <c r="N16" s="2" t="n"/>
      <c r="O16" s="2" t="n"/>
      <c r="P16" s="43">
        <f>MIN(Tables!$B$13+10,Tables!$B$18)</f>
        <v/>
      </c>
      <c r="Q16" s="43">
        <f>IF('2. Results'!$C$35="Both claim at 62",INDEX(ENG_S1_BASE!$CC$2:$CC$42,10+1),IF('2. Results'!$C$35="Both claim at 67",INDEX(ENG_S2_BASE!$CC$2:$CC$42,10+1),INDEX(ENG_S3_BASE!$CC$2:$CC$42,10+1)))</f>
        <v/>
      </c>
      <c r="R16" s="43">
        <f>IF('2. Results'!$C$35="Both claim at 62",INDEX(ENG_S1_STRESS!$CC$2:$CC$42,10+1),IF('2. Results'!$C$35="Both claim at 67",INDEX(ENG_S2_STRESS!$CC$2:$CC$42,10+1),INDEX(ENG_S3_STRESS!$CC$2:$CC$42,10+1)))</f>
        <v/>
      </c>
      <c r="S16" s="2" t="n"/>
    </row>
    <row r="17">
      <c r="A17" s="2" t="n"/>
      <c r="B17" s="2" t="n"/>
      <c r="C17" s="2" t="n"/>
      <c r="D17" s="2" t="n"/>
      <c r="E17" s="2" t="n"/>
      <c r="F17" s="2" t="n"/>
      <c r="G17" s="2" t="n"/>
      <c r="H17" s="2" t="n"/>
      <c r="I17" s="2" t="n"/>
      <c r="J17" s="2" t="n"/>
      <c r="K17" s="2" t="n"/>
      <c r="L17" s="2" t="n"/>
      <c r="M17" s="2" t="n"/>
      <c r="N17" s="2" t="n"/>
      <c r="O17" s="2" t="n"/>
      <c r="P17" s="43">
        <f>MIN(Tables!$B$13+11,Tables!$B$18)</f>
        <v/>
      </c>
      <c r="Q17" s="43">
        <f>IF('2. Results'!$C$35="Both claim at 62",INDEX(ENG_S1_BASE!$CC$2:$CC$42,11+1),IF('2. Results'!$C$35="Both claim at 67",INDEX(ENG_S2_BASE!$CC$2:$CC$42,11+1),INDEX(ENG_S3_BASE!$CC$2:$CC$42,11+1)))</f>
        <v/>
      </c>
      <c r="R17" s="43">
        <f>IF('2. Results'!$C$35="Both claim at 62",INDEX(ENG_S1_STRESS!$CC$2:$CC$42,11+1),IF('2. Results'!$C$35="Both claim at 67",INDEX(ENG_S2_STRESS!$CC$2:$CC$42,11+1),INDEX(ENG_S3_STRESS!$CC$2:$CC$42,11+1)))</f>
        <v/>
      </c>
      <c r="S17" s="2" t="n"/>
    </row>
    <row r="18">
      <c r="A18" s="8" t="inlineStr">
        <is>
          <t>THE $667 GRID — LIFESTYLE SPENDING VS OUTCOME (STRESS PATH · BOTH CLAIM AT 67)</t>
        </is>
      </c>
      <c r="B18" s="2" t="n"/>
      <c r="C18" s="2" t="n"/>
      <c r="D18" s="13" t="inlineStr">
        <is>
          <t>MODEL OUTPUT</t>
        </is>
      </c>
      <c r="E18" s="2" t="n"/>
      <c r="F18" s="2" t="n"/>
      <c r="G18" s="2" t="n"/>
      <c r="H18" s="2" t="n"/>
      <c r="I18" s="2" t="n"/>
      <c r="J18" s="2" t="n"/>
      <c r="K18" s="2" t="n"/>
      <c r="L18" s="2" t="n"/>
      <c r="M18" s="2" t="n"/>
      <c r="N18" s="2" t="n"/>
      <c r="O18" s="2" t="n"/>
      <c r="P18" s="43">
        <f>MIN(Tables!$B$13+12,Tables!$B$18)</f>
        <v/>
      </c>
      <c r="Q18" s="43">
        <f>IF('2. Results'!$C$35="Both claim at 62",INDEX(ENG_S1_BASE!$CC$2:$CC$42,12+1),IF('2. Results'!$C$35="Both claim at 67",INDEX(ENG_S2_BASE!$CC$2:$CC$42,12+1),INDEX(ENG_S3_BASE!$CC$2:$CC$42,12+1)))</f>
        <v/>
      </c>
      <c r="R18" s="43">
        <f>IF('2. Results'!$C$35="Both claim at 62",INDEX(ENG_S1_STRESS!$CC$2:$CC$42,12+1),IF('2. Results'!$C$35="Both claim at 67",INDEX(ENG_S2_STRESS!$CC$2:$CC$42,12+1),INDEX(ENG_S3_STRESS!$CC$2:$CC$42,12+1)))</f>
        <v/>
      </c>
      <c r="S18" s="2" t="n"/>
    </row>
    <row r="19">
      <c r="A19" s="44" t="inlineStr">
        <is>
          <t>Lifestyle / year</t>
        </is>
      </c>
      <c r="B19" s="45" t="inlineStr">
        <is>
          <t>Per month</t>
        </is>
      </c>
      <c r="C19" s="45" t="inlineStr">
        <is>
          <t>Ends at 95</t>
        </is>
      </c>
      <c r="D19" s="45" t="inlineStr">
        <is>
          <t>Runs out</t>
        </is>
      </c>
      <c r="E19" s="2" t="n"/>
      <c r="F19" s="2" t="n"/>
      <c r="G19" s="2" t="n"/>
      <c r="H19" s="2" t="n"/>
      <c r="I19" s="2" t="n"/>
      <c r="J19" s="2" t="n"/>
      <c r="K19" s="2" t="n"/>
      <c r="L19" s="2" t="n"/>
      <c r="M19" s="2" t="n"/>
      <c r="N19" s="2" t="n"/>
      <c r="O19" s="2" t="n"/>
      <c r="P19" s="43">
        <f>MIN(Tables!$B$13+13,Tables!$B$18)</f>
        <v/>
      </c>
      <c r="Q19" s="43">
        <f>IF('2. Results'!$C$35="Both claim at 62",INDEX(ENG_S1_BASE!$CC$2:$CC$42,13+1),IF('2. Results'!$C$35="Both claim at 67",INDEX(ENG_S2_BASE!$CC$2:$CC$42,13+1),INDEX(ENG_S3_BASE!$CC$2:$CC$42,13+1)))</f>
        <v/>
      </c>
      <c r="R19" s="43">
        <f>IF('2. Results'!$C$35="Both claim at 62",INDEX(ENG_S1_STRESS!$CC$2:$CC$42,13+1),IF('2. Results'!$C$35="Both claim at 67",INDEX(ENG_S2_STRESS!$CC$2:$CC$42,13+1),INDEX(ENG_S3_STRESS!$CC$2:$CC$42,13+1)))</f>
        <v/>
      </c>
      <c r="S19" s="2" t="n"/>
    </row>
    <row r="20">
      <c r="A20" s="47">
        <f>Tables!$B$8-4000</f>
        <v/>
      </c>
      <c r="B20" s="47">
        <f>A20/12</f>
        <v/>
      </c>
      <c r="C20" s="47">
        <f>ENG_SENS_M4!$B$45</f>
        <v/>
      </c>
      <c r="D20" s="48">
        <f>ENG_SENS_M4!$B$48</f>
        <v/>
      </c>
      <c r="E20" s="2" t="n"/>
      <c r="F20" s="2" t="n"/>
      <c r="G20" s="2" t="n"/>
      <c r="H20" s="2" t="n"/>
      <c r="I20" s="2" t="n"/>
      <c r="J20" s="2" t="n"/>
      <c r="K20" s="2" t="n"/>
      <c r="L20" s="2" t="n"/>
      <c r="M20" s="2" t="n"/>
      <c r="N20" s="2" t="n"/>
      <c r="O20" s="2" t="n"/>
      <c r="P20" s="43">
        <f>MIN(Tables!$B$13+14,Tables!$B$18)</f>
        <v/>
      </c>
      <c r="Q20" s="43">
        <f>IF('2. Results'!$C$35="Both claim at 62",INDEX(ENG_S1_BASE!$CC$2:$CC$42,14+1),IF('2. Results'!$C$35="Both claim at 67",INDEX(ENG_S2_BASE!$CC$2:$CC$42,14+1),INDEX(ENG_S3_BASE!$CC$2:$CC$42,14+1)))</f>
        <v/>
      </c>
      <c r="R20" s="43">
        <f>IF('2. Results'!$C$35="Both claim at 62",INDEX(ENG_S1_STRESS!$CC$2:$CC$42,14+1),IF('2. Results'!$C$35="Both claim at 67",INDEX(ENG_S2_STRESS!$CC$2:$CC$42,14+1),INDEX(ENG_S3_STRESS!$CC$2:$CC$42,14+1)))</f>
        <v/>
      </c>
      <c r="S20" s="2" t="n"/>
    </row>
    <row r="21">
      <c r="A21" s="50">
        <f>Tables!$B$8-2000</f>
        <v/>
      </c>
      <c r="B21" s="50">
        <f>A21/12</f>
        <v/>
      </c>
      <c r="C21" s="50">
        <f>ENG_SENS_M2!$B$45</f>
        <v/>
      </c>
      <c r="D21" s="51">
        <f>ENG_SENS_M2!$B$48</f>
        <v/>
      </c>
      <c r="E21" s="2" t="n"/>
      <c r="F21" s="2" t="n"/>
      <c r="G21" s="2" t="n"/>
      <c r="H21" s="2" t="n"/>
      <c r="I21" s="2" t="n"/>
      <c r="J21" s="2" t="n"/>
      <c r="K21" s="2" t="n"/>
      <c r="L21" s="2" t="n"/>
      <c r="M21" s="2" t="n"/>
      <c r="N21" s="2" t="n"/>
      <c r="O21" s="2" t="n"/>
      <c r="P21" s="43">
        <f>MIN(Tables!$B$13+15,Tables!$B$18)</f>
        <v/>
      </c>
      <c r="Q21" s="43">
        <f>IF('2. Results'!$C$35="Both claim at 62",INDEX(ENG_S1_BASE!$CC$2:$CC$42,15+1),IF('2. Results'!$C$35="Both claim at 67",INDEX(ENG_S2_BASE!$CC$2:$CC$42,15+1),INDEX(ENG_S3_BASE!$CC$2:$CC$42,15+1)))</f>
        <v/>
      </c>
      <c r="R21" s="43">
        <f>IF('2. Results'!$C$35="Both claim at 62",INDEX(ENG_S1_STRESS!$CC$2:$CC$42,15+1),IF('2. Results'!$C$35="Both claim at 67",INDEX(ENG_S2_STRESS!$CC$2:$CC$42,15+1),INDEX(ENG_S3_STRESS!$CC$2:$CC$42,15+1)))</f>
        <v/>
      </c>
      <c r="S21" s="2" t="n"/>
    </row>
    <row r="22">
      <c r="A22" s="47">
        <f>Tables!$B$8</f>
        <v/>
      </c>
      <c r="B22" s="47">
        <f>A22/12</f>
        <v/>
      </c>
      <c r="C22" s="47">
        <f>ENG_SENS_0!$B$45</f>
        <v/>
      </c>
      <c r="D22" s="48">
        <f>ENG_SENS_0!$B$48</f>
        <v/>
      </c>
      <c r="E22" s="2" t="n"/>
      <c r="F22" s="2" t="n"/>
      <c r="G22" s="2" t="n"/>
      <c r="H22" s="2" t="n"/>
      <c r="I22" s="2" t="n"/>
      <c r="J22" s="2" t="n"/>
      <c r="K22" s="2" t="n"/>
      <c r="L22" s="2" t="n"/>
      <c r="M22" s="2" t="n"/>
      <c r="N22" s="2" t="n"/>
      <c r="O22" s="2" t="n"/>
      <c r="P22" s="43">
        <f>MIN(Tables!$B$13+16,Tables!$B$18)</f>
        <v/>
      </c>
      <c r="Q22" s="43">
        <f>IF('2. Results'!$C$35="Both claim at 62",INDEX(ENG_S1_BASE!$CC$2:$CC$42,16+1),IF('2. Results'!$C$35="Both claim at 67",INDEX(ENG_S2_BASE!$CC$2:$CC$42,16+1),INDEX(ENG_S3_BASE!$CC$2:$CC$42,16+1)))</f>
        <v/>
      </c>
      <c r="R22" s="43">
        <f>IF('2. Results'!$C$35="Both claim at 62",INDEX(ENG_S1_STRESS!$CC$2:$CC$42,16+1),IF('2. Results'!$C$35="Both claim at 67",INDEX(ENG_S2_STRESS!$CC$2:$CC$42,16+1),INDEX(ENG_S3_STRESS!$CC$2:$CC$42,16+1)))</f>
        <v/>
      </c>
      <c r="S22" s="2" t="n"/>
    </row>
    <row r="23">
      <c r="A23" s="50">
        <f>Tables!$B$8+2000</f>
        <v/>
      </c>
      <c r="B23" s="50">
        <f>A23/12</f>
        <v/>
      </c>
      <c r="C23" s="50">
        <f>ENG_SENS_P2!$B$45</f>
        <v/>
      </c>
      <c r="D23" s="51">
        <f>ENG_SENS_P2!$B$48</f>
        <v/>
      </c>
      <c r="E23" s="2" t="n"/>
      <c r="F23" s="2" t="n"/>
      <c r="G23" s="2" t="n"/>
      <c r="H23" s="2" t="n"/>
      <c r="I23" s="2" t="n"/>
      <c r="J23" s="2" t="n"/>
      <c r="K23" s="2" t="n"/>
      <c r="L23" s="2" t="n"/>
      <c r="M23" s="2" t="n"/>
      <c r="N23" s="2" t="n"/>
      <c r="O23" s="2" t="n"/>
      <c r="P23" s="43">
        <f>MIN(Tables!$B$13+17,Tables!$B$18)</f>
        <v/>
      </c>
      <c r="Q23" s="43">
        <f>IF('2. Results'!$C$35="Both claim at 62",INDEX(ENG_S1_BASE!$CC$2:$CC$42,17+1),IF('2. Results'!$C$35="Both claim at 67",INDEX(ENG_S2_BASE!$CC$2:$CC$42,17+1),INDEX(ENG_S3_BASE!$CC$2:$CC$42,17+1)))</f>
        <v/>
      </c>
      <c r="R23" s="43">
        <f>IF('2. Results'!$C$35="Both claim at 62",INDEX(ENG_S1_STRESS!$CC$2:$CC$42,17+1),IF('2. Results'!$C$35="Both claim at 67",INDEX(ENG_S2_STRESS!$CC$2:$CC$42,17+1),INDEX(ENG_S3_STRESS!$CC$2:$CC$42,17+1)))</f>
        <v/>
      </c>
      <c r="S23" s="2" t="n"/>
    </row>
    <row r="24">
      <c r="A24" s="47">
        <f>Tables!$B$8+4000</f>
        <v/>
      </c>
      <c r="B24" s="47">
        <f>A24/12</f>
        <v/>
      </c>
      <c r="C24" s="47">
        <f>ENG_SENS_P4!$B$45</f>
        <v/>
      </c>
      <c r="D24" s="48">
        <f>ENG_SENS_P4!$B$48</f>
        <v/>
      </c>
      <c r="E24" s="2" t="n"/>
      <c r="F24" s="2" t="n"/>
      <c r="G24" s="2" t="n"/>
      <c r="H24" s="2" t="n"/>
      <c r="I24" s="2" t="n"/>
      <c r="J24" s="2" t="n"/>
      <c r="K24" s="2" t="n"/>
      <c r="L24" s="2" t="n"/>
      <c r="M24" s="2" t="n"/>
      <c r="N24" s="2" t="n"/>
      <c r="O24" s="2" t="n"/>
      <c r="P24" s="43">
        <f>MIN(Tables!$B$13+18,Tables!$B$18)</f>
        <v/>
      </c>
      <c r="Q24" s="43">
        <f>IF('2. Results'!$C$35="Both claim at 62",INDEX(ENG_S1_BASE!$CC$2:$CC$42,18+1),IF('2. Results'!$C$35="Both claim at 67",INDEX(ENG_S2_BASE!$CC$2:$CC$42,18+1),INDEX(ENG_S3_BASE!$CC$2:$CC$42,18+1)))</f>
        <v/>
      </c>
      <c r="R24" s="43">
        <f>IF('2. Results'!$C$35="Both claim at 62",INDEX(ENG_S1_STRESS!$CC$2:$CC$42,18+1),IF('2. Results'!$C$35="Both claim at 67",INDEX(ENG_S2_STRESS!$CC$2:$CC$42,18+1),INDEX(ENG_S3_STRESS!$CC$2:$CC$42,18+1)))</f>
        <v/>
      </c>
      <c r="S24" s="2" t="n"/>
    </row>
    <row r="25">
      <c r="A25" s="50">
        <f>Tables!$B$8+6000</f>
        <v/>
      </c>
      <c r="B25" s="50">
        <f>A25/12</f>
        <v/>
      </c>
      <c r="C25" s="50">
        <f>ENG_SENS_P6!$B$45</f>
        <v/>
      </c>
      <c r="D25" s="51">
        <f>ENG_SENS_P6!$B$48</f>
        <v/>
      </c>
      <c r="E25" s="2" t="n"/>
      <c r="F25" s="2" t="n"/>
      <c r="G25" s="2" t="n"/>
      <c r="H25" s="2" t="n"/>
      <c r="I25" s="2" t="n"/>
      <c r="J25" s="2" t="n"/>
      <c r="K25" s="2" t="n"/>
      <c r="L25" s="2" t="n"/>
      <c r="M25" s="2" t="n"/>
      <c r="N25" s="2" t="n"/>
      <c r="O25" s="2" t="n"/>
      <c r="P25" s="43">
        <f>MIN(Tables!$B$13+19,Tables!$B$18)</f>
        <v/>
      </c>
      <c r="Q25" s="43">
        <f>IF('2. Results'!$C$35="Both claim at 62",INDEX(ENG_S1_BASE!$CC$2:$CC$42,19+1),IF('2. Results'!$C$35="Both claim at 67",INDEX(ENG_S2_BASE!$CC$2:$CC$42,19+1),INDEX(ENG_S3_BASE!$CC$2:$CC$42,19+1)))</f>
        <v/>
      </c>
      <c r="R25" s="43">
        <f>IF('2. Results'!$C$35="Both claim at 62",INDEX(ENG_S1_STRESS!$CC$2:$CC$42,19+1),IF('2. Results'!$C$35="Both claim at 67",INDEX(ENG_S2_STRESS!$CC$2:$CC$42,19+1),INDEX(ENG_S3_STRESS!$CC$2:$CC$42,19+1)))</f>
        <v/>
      </c>
      <c r="S25" s="2" t="n"/>
    </row>
    <row r="26">
      <c r="A26" s="47">
        <f>Tables!$B$8+8000</f>
        <v/>
      </c>
      <c r="B26" s="47">
        <f>A26/12</f>
        <v/>
      </c>
      <c r="C26" s="47">
        <f>ENG_SENS_P8!$B$45</f>
        <v/>
      </c>
      <c r="D26" s="48">
        <f>ENG_SENS_P8!$B$48</f>
        <v/>
      </c>
      <c r="E26" s="2" t="n"/>
      <c r="F26" s="2" t="n"/>
      <c r="G26" s="2" t="n"/>
      <c r="H26" s="2" t="n"/>
      <c r="I26" s="2" t="n"/>
      <c r="J26" s="2" t="n"/>
      <c r="K26" s="2" t="n"/>
      <c r="L26" s="2" t="n"/>
      <c r="M26" s="2" t="n"/>
      <c r="N26" s="2" t="n"/>
      <c r="O26" s="2" t="n"/>
      <c r="P26" s="43">
        <f>MIN(Tables!$B$13+20,Tables!$B$18)</f>
        <v/>
      </c>
      <c r="Q26" s="43">
        <f>IF('2. Results'!$C$35="Both claim at 62",INDEX(ENG_S1_BASE!$CC$2:$CC$42,20+1),IF('2. Results'!$C$35="Both claim at 67",INDEX(ENG_S2_BASE!$CC$2:$CC$42,20+1),INDEX(ENG_S3_BASE!$CC$2:$CC$42,20+1)))</f>
        <v/>
      </c>
      <c r="R26" s="43">
        <f>IF('2. Results'!$C$35="Both claim at 62",INDEX(ENG_S1_STRESS!$CC$2:$CC$42,20+1),IF('2. Results'!$C$35="Both claim at 67",INDEX(ENG_S2_STRESS!$CC$2:$CC$42,20+1),INDEX(ENG_S3_STRESS!$CC$2:$CC$42,20+1)))</f>
        <v/>
      </c>
      <c r="S26" s="2" t="n"/>
    </row>
    <row r="27">
      <c r="A27" s="37" t="inlineStr">
        <is>
          <t>With the example inputs, this is the $56k–$68k grid: $667 a month separates ending with money from running out at 81.</t>
        </is>
      </c>
      <c r="B27" s="2" t="n"/>
      <c r="C27" s="2" t="n"/>
      <c r="D27" s="2" t="n"/>
      <c r="E27" s="2" t="n"/>
      <c r="F27" s="2" t="n"/>
      <c r="G27" s="2" t="n"/>
      <c r="H27" s="2" t="n"/>
      <c r="I27" s="2" t="n"/>
      <c r="J27" s="2" t="n"/>
      <c r="K27" s="2" t="n"/>
      <c r="L27" s="2" t="n"/>
      <c r="M27" s="2" t="n"/>
      <c r="N27" s="2" t="n"/>
      <c r="O27" s="2" t="n"/>
      <c r="P27" s="43">
        <f>MIN(Tables!$B$13+21,Tables!$B$18)</f>
        <v/>
      </c>
      <c r="Q27" s="43">
        <f>IF('2. Results'!$C$35="Both claim at 62",INDEX(ENG_S1_BASE!$CC$2:$CC$42,21+1),IF('2. Results'!$C$35="Both claim at 67",INDEX(ENG_S2_BASE!$CC$2:$CC$42,21+1),INDEX(ENG_S3_BASE!$CC$2:$CC$42,21+1)))</f>
        <v/>
      </c>
      <c r="R27" s="43">
        <f>IF('2. Results'!$C$35="Both claim at 62",INDEX(ENG_S1_STRESS!$CC$2:$CC$42,21+1),IF('2. Results'!$C$35="Both claim at 67",INDEX(ENG_S2_STRESS!$CC$2:$CC$42,21+1),INDEX(ENG_S3_STRESS!$CC$2:$CC$42,21+1)))</f>
        <v/>
      </c>
      <c r="S27" s="2" t="n"/>
    </row>
    <row r="28">
      <c r="A28" s="2" t="n"/>
      <c r="B28" s="2" t="n"/>
      <c r="C28" s="2" t="n"/>
      <c r="D28" s="2" t="n"/>
      <c r="E28" s="2" t="n"/>
      <c r="F28" s="2" t="n"/>
      <c r="G28" s="2" t="n"/>
      <c r="H28" s="2" t="n"/>
      <c r="I28" s="2" t="n"/>
      <c r="J28" s="2" t="n"/>
      <c r="K28" s="2" t="n"/>
      <c r="L28" s="2" t="n"/>
      <c r="M28" s="2" t="n"/>
      <c r="N28" s="2" t="n"/>
      <c r="O28" s="2" t="n"/>
      <c r="P28" s="43">
        <f>MIN(Tables!$B$13+22,Tables!$B$18)</f>
        <v/>
      </c>
      <c r="Q28" s="43">
        <f>IF('2. Results'!$C$35="Both claim at 62",INDEX(ENG_S1_BASE!$CC$2:$CC$42,22+1),IF('2. Results'!$C$35="Both claim at 67",INDEX(ENG_S2_BASE!$CC$2:$CC$42,22+1),INDEX(ENG_S3_BASE!$CC$2:$CC$42,22+1)))</f>
        <v/>
      </c>
      <c r="R28" s="43">
        <f>IF('2. Results'!$C$35="Both claim at 62",INDEX(ENG_S1_STRESS!$CC$2:$CC$42,22+1),IF('2. Results'!$C$35="Both claim at 67",INDEX(ENG_S2_STRESS!$CC$2:$CC$42,22+1),INDEX(ENG_S3_STRESS!$CC$2:$CC$42,22+1)))</f>
        <v/>
      </c>
      <c r="S28" s="2" t="n"/>
    </row>
    <row r="29">
      <c r="A29" s="8" t="inlineStr">
        <is>
          <t>THE GUARDRAIL — SPEND $6,000 LESS THE YEAR AFTER A BAD YEAR (STRESS · BOTH AT 67)</t>
        </is>
      </c>
      <c r="B29" s="2" t="n"/>
      <c r="C29" s="2" t="n"/>
      <c r="D29" s="13" t="inlineStr">
        <is>
          <t>MODEL OUTPUT</t>
        </is>
      </c>
      <c r="E29" s="2" t="n"/>
      <c r="F29" s="2" t="n"/>
      <c r="G29" s="2" t="n"/>
      <c r="H29" s="2" t="n"/>
      <c r="I29" s="2" t="n"/>
      <c r="J29" s="2" t="n"/>
      <c r="K29" s="2" t="n"/>
      <c r="L29" s="2" t="n"/>
      <c r="M29" s="2" t="n"/>
      <c r="N29" s="2" t="n"/>
      <c r="O29" s="2" t="n"/>
      <c r="P29" s="43">
        <f>MIN(Tables!$B$13+23,Tables!$B$18)</f>
        <v/>
      </c>
      <c r="Q29" s="43">
        <f>IF('2. Results'!$C$35="Both claim at 62",INDEX(ENG_S1_BASE!$CC$2:$CC$42,23+1),IF('2. Results'!$C$35="Both claim at 67",INDEX(ENG_S2_BASE!$CC$2:$CC$42,23+1),INDEX(ENG_S3_BASE!$CC$2:$CC$42,23+1)))</f>
        <v/>
      </c>
      <c r="R29" s="43">
        <f>IF('2. Results'!$C$35="Both claim at 62",INDEX(ENG_S1_STRESS!$CC$2:$CC$42,23+1),IF('2. Results'!$C$35="Both claim at 67",INDEX(ENG_S2_STRESS!$CC$2:$CC$42,23+1),INDEX(ENG_S3_STRESS!$CC$2:$CC$42,23+1)))</f>
        <v/>
      </c>
      <c r="S29" s="2" t="n"/>
    </row>
    <row r="30">
      <c r="A30" s="52" t="inlineStr">
        <is>
          <t>Rule</t>
        </is>
      </c>
      <c r="B30" s="52" t="inlineStr">
        <is>
          <t>Ends at 95</t>
        </is>
      </c>
      <c r="C30" s="52" t="inlineStr"/>
      <c r="D30" s="2" t="n"/>
      <c r="E30" s="2" t="n"/>
      <c r="F30" s="2" t="n"/>
      <c r="G30" s="2" t="n"/>
      <c r="H30" s="2" t="n"/>
      <c r="I30" s="2" t="n"/>
      <c r="J30" s="2" t="n"/>
      <c r="K30" s="2" t="n"/>
      <c r="L30" s="2" t="n"/>
      <c r="M30" s="2" t="n"/>
      <c r="N30" s="2" t="n"/>
      <c r="O30" s="2" t="n"/>
      <c r="P30" s="43">
        <f>MIN(Tables!$B$13+24,Tables!$B$18)</f>
        <v/>
      </c>
      <c r="Q30" s="43">
        <f>IF('2. Results'!$C$35="Both claim at 62",INDEX(ENG_S1_BASE!$CC$2:$CC$42,24+1),IF('2. Results'!$C$35="Both claim at 67",INDEX(ENG_S2_BASE!$CC$2:$CC$42,24+1),INDEX(ENG_S3_BASE!$CC$2:$CC$42,24+1)))</f>
        <v/>
      </c>
      <c r="R30" s="43">
        <f>IF('2. Results'!$C$35="Both claim at 62",INDEX(ENG_S1_STRESS!$CC$2:$CC$42,24+1),IF('2. Results'!$C$35="Both claim at 67",INDEX(ENG_S2_STRESS!$CC$2:$CC$42,24+1),INDEX(ENG_S3_STRESS!$CC$2:$CC$42,24+1)))</f>
        <v/>
      </c>
      <c r="S30" s="2" t="n"/>
    </row>
    <row r="31">
      <c r="A31" s="46" t="inlineStr">
        <is>
          <t>Without the guardrail</t>
        </is>
      </c>
      <c r="B31" s="47">
        <f>ENG_SENS_0!$B$45</f>
        <v/>
      </c>
      <c r="C31" s="37" t="inlineStr">
        <is>
          <t>This pair always compares OFF vs ON, whatever the toggle says.</t>
        </is>
      </c>
      <c r="D31" s="2" t="n"/>
      <c r="E31" s="2" t="n"/>
      <c r="F31" s="2" t="n"/>
      <c r="G31" s="2" t="n"/>
      <c r="H31" s="2" t="n"/>
      <c r="I31" s="2" t="n"/>
      <c r="J31" s="2" t="n"/>
      <c r="K31" s="2" t="n"/>
      <c r="L31" s="2" t="n"/>
      <c r="M31" s="2" t="n"/>
      <c r="N31" s="2" t="n"/>
      <c r="O31" s="2" t="n"/>
      <c r="P31" s="43">
        <f>MIN(Tables!$B$13+25,Tables!$B$18)</f>
        <v/>
      </c>
      <c r="Q31" s="43">
        <f>IF('2. Results'!$C$35="Both claim at 62",INDEX(ENG_S1_BASE!$CC$2:$CC$42,25+1),IF('2. Results'!$C$35="Both claim at 67",INDEX(ENG_S2_BASE!$CC$2:$CC$42,25+1),INDEX(ENG_S3_BASE!$CC$2:$CC$42,25+1)))</f>
        <v/>
      </c>
      <c r="R31" s="43">
        <f>IF('2. Results'!$C$35="Both claim at 62",INDEX(ENG_S1_STRESS!$CC$2:$CC$42,25+1),IF('2. Results'!$C$35="Both claim at 67",INDEX(ENG_S2_STRESS!$CC$2:$CC$42,25+1),INDEX(ENG_S3_STRESS!$CC$2:$CC$42,25+1)))</f>
        <v/>
      </c>
      <c r="S31" s="2" t="n"/>
    </row>
    <row r="32">
      <c r="A32" s="49" t="inlineStr">
        <is>
          <t>With the guardrail</t>
        </is>
      </c>
      <c r="B32" s="50">
        <f>ENG_GUARD!$B$45</f>
        <v/>
      </c>
      <c r="C32" s="2" t="n"/>
      <c r="D32" s="2" t="n"/>
      <c r="E32" s="2" t="n"/>
      <c r="F32" s="2" t="n"/>
      <c r="G32" s="2" t="n"/>
      <c r="H32" s="2" t="n"/>
      <c r="I32" s="2" t="n"/>
      <c r="J32" s="2" t="n"/>
      <c r="K32" s="2" t="n"/>
      <c r="L32" s="2" t="n"/>
      <c r="M32" s="2" t="n"/>
      <c r="N32" s="2" t="n"/>
      <c r="O32" s="2" t="n"/>
      <c r="P32" s="43">
        <f>MIN(Tables!$B$13+26,Tables!$B$18)</f>
        <v/>
      </c>
      <c r="Q32" s="43">
        <f>IF('2. Results'!$C$35="Both claim at 62",INDEX(ENG_S1_BASE!$CC$2:$CC$42,26+1),IF('2. Results'!$C$35="Both claim at 67",INDEX(ENG_S2_BASE!$CC$2:$CC$42,26+1),INDEX(ENG_S3_BASE!$CC$2:$CC$42,26+1)))</f>
        <v/>
      </c>
      <c r="R32" s="43">
        <f>IF('2. Results'!$C$35="Both claim at 62",INDEX(ENG_S1_STRESS!$CC$2:$CC$42,26+1),IF('2. Results'!$C$35="Both claim at 67",INDEX(ENG_S2_STRESS!$CC$2:$CC$42,26+1),INDEX(ENG_S3_STRESS!$CC$2:$CC$42,26+1)))</f>
        <v/>
      </c>
      <c r="S32" s="2" t="n"/>
    </row>
    <row r="33">
      <c r="A33" s="2" t="n"/>
      <c r="B33" s="2" t="n"/>
      <c r="C33" s="2" t="n"/>
      <c r="D33" s="2" t="n"/>
      <c r="E33" s="2" t="n"/>
      <c r="F33" s="2" t="n"/>
      <c r="G33" s="2" t="n"/>
      <c r="H33" s="2" t="n"/>
      <c r="I33" s="2" t="n"/>
      <c r="J33" s="2" t="n"/>
      <c r="K33" s="2" t="n"/>
      <c r="L33" s="2" t="n"/>
      <c r="M33" s="2" t="n"/>
      <c r="N33" s="2" t="n"/>
      <c r="O33" s="2" t="n"/>
      <c r="P33" s="43">
        <f>MIN(Tables!$B$13+27,Tables!$B$18)</f>
        <v/>
      </c>
      <c r="Q33" s="43">
        <f>IF('2. Results'!$C$35="Both claim at 62",INDEX(ENG_S1_BASE!$CC$2:$CC$42,27+1),IF('2. Results'!$C$35="Both claim at 67",INDEX(ENG_S2_BASE!$CC$2:$CC$42,27+1),INDEX(ENG_S3_BASE!$CC$2:$CC$42,27+1)))</f>
        <v/>
      </c>
      <c r="R33" s="43">
        <f>IF('2. Results'!$C$35="Both claim at 62",INDEX(ENG_S1_STRESS!$CC$2:$CC$42,27+1),IF('2. Results'!$C$35="Both claim at 67",INDEX(ENG_S2_STRESS!$CC$2:$CC$42,27+1),INDEX(ENG_S3_STRESS!$CC$2:$CC$42,27+1)))</f>
        <v/>
      </c>
      <c r="S33" s="2" t="n"/>
    </row>
    <row r="34">
      <c r="A34" s="2" t="n"/>
      <c r="B34" s="2" t="n"/>
      <c r="C34" s="2" t="n"/>
      <c r="D34" s="2" t="n"/>
      <c r="E34" s="2" t="n"/>
      <c r="F34" s="2" t="n"/>
      <c r="G34" s="2" t="n"/>
      <c r="H34" s="2" t="n"/>
      <c r="I34" s="2" t="n"/>
      <c r="J34" s="2" t="n"/>
      <c r="K34" s="2" t="n"/>
      <c r="L34" s="2" t="n"/>
      <c r="M34" s="2" t="n"/>
      <c r="N34" s="2" t="n"/>
      <c r="O34" s="2" t="n"/>
      <c r="P34" s="43">
        <f>MIN(Tables!$B$13+28,Tables!$B$18)</f>
        <v/>
      </c>
      <c r="Q34" s="43">
        <f>IF('2. Results'!$C$35="Both claim at 62",INDEX(ENG_S1_BASE!$CC$2:$CC$42,28+1),IF('2. Results'!$C$35="Both claim at 67",INDEX(ENG_S2_BASE!$CC$2:$CC$42,28+1),INDEX(ENG_S3_BASE!$CC$2:$CC$42,28+1)))</f>
        <v/>
      </c>
      <c r="R34" s="43">
        <f>IF('2. Results'!$C$35="Both claim at 62",INDEX(ENG_S1_STRESS!$CC$2:$CC$42,28+1),IF('2. Results'!$C$35="Both claim at 67",INDEX(ENG_S2_STRESS!$CC$2:$CC$42,28+1),INDEX(ENG_S3_STRESS!$CC$2:$CC$42,28+1)))</f>
        <v/>
      </c>
      <c r="S34" s="2" t="n"/>
    </row>
    <row r="35">
      <c r="A35" s="8" t="inlineStr">
        <is>
          <t>CHART &amp; YEAR-BY-YEAR STRATEGY</t>
        </is>
      </c>
      <c r="B35" s="2" t="n"/>
      <c r="C35" s="53" t="inlineStr">
        <is>
          <t>Both claim at 67</t>
        </is>
      </c>
      <c r="D35" s="2" t="n"/>
      <c r="E35" s="2" t="n"/>
      <c r="F35" s="2" t="n"/>
      <c r="G35" s="2" t="n"/>
      <c r="H35" s="2" t="n"/>
      <c r="I35" s="2" t="n"/>
      <c r="J35" s="2" t="n"/>
      <c r="K35" s="2" t="n"/>
      <c r="L35" s="2" t="n"/>
      <c r="M35" s="2" t="n"/>
      <c r="N35" s="2" t="n"/>
      <c r="O35" s="2" t="n"/>
      <c r="P35" s="43">
        <f>MIN(Tables!$B$13+29,Tables!$B$18)</f>
        <v/>
      </c>
      <c r="Q35" s="43">
        <f>IF('2. Results'!$C$35="Both claim at 62",INDEX(ENG_S1_BASE!$CC$2:$CC$42,29+1),IF('2. Results'!$C$35="Both claim at 67",INDEX(ENG_S2_BASE!$CC$2:$CC$42,29+1),INDEX(ENG_S3_BASE!$CC$2:$CC$42,29+1)))</f>
        <v/>
      </c>
      <c r="R35" s="43">
        <f>IF('2. Results'!$C$35="Both claim at 62",INDEX(ENG_S1_STRESS!$CC$2:$CC$42,29+1),IF('2. Results'!$C$35="Both claim at 67",INDEX(ENG_S2_STRESS!$CC$2:$CC$42,29+1),INDEX(ENG_S3_STRESS!$CC$2:$CC$42,29+1)))</f>
        <v/>
      </c>
      <c r="S35" s="2" t="n"/>
    </row>
    <row r="36">
      <c r="A36" s="2" t="n"/>
      <c r="B36" s="2" t="n"/>
      <c r="C36" s="2" t="n"/>
      <c r="D36" s="2" t="n"/>
      <c r="E36" s="2" t="n"/>
      <c r="F36" s="2" t="n"/>
      <c r="G36" s="2" t="n"/>
      <c r="H36" s="2" t="n"/>
      <c r="I36" s="2" t="n"/>
      <c r="J36" s="2" t="n"/>
      <c r="K36" s="2" t="n"/>
      <c r="L36" s="2" t="n"/>
      <c r="M36" s="2" t="n"/>
      <c r="N36" s="2" t="n"/>
      <c r="O36" s="2" t="n"/>
      <c r="P36" s="43">
        <f>MIN(Tables!$B$13+30,Tables!$B$18)</f>
        <v/>
      </c>
      <c r="Q36" s="43">
        <f>IF('2. Results'!$C$35="Both claim at 62",INDEX(ENG_S1_BASE!$CC$2:$CC$42,30+1),IF('2. Results'!$C$35="Both claim at 67",INDEX(ENG_S2_BASE!$CC$2:$CC$42,30+1),INDEX(ENG_S3_BASE!$CC$2:$CC$42,30+1)))</f>
        <v/>
      </c>
      <c r="R36" s="43">
        <f>IF('2. Results'!$C$35="Both claim at 62",INDEX(ENG_S1_STRESS!$CC$2:$CC$42,30+1),IF('2. Results'!$C$35="Both claim at 67",INDEX(ENG_S2_STRESS!$CC$2:$CC$42,30+1),INDEX(ENG_S3_STRESS!$CC$2:$CC$42,30+1)))</f>
        <v/>
      </c>
      <c r="S36" s="2" t="n"/>
    </row>
    <row r="37">
      <c r="A37" s="2" t="n"/>
      <c r="B37" s="2" t="n"/>
      <c r="C37" s="2" t="n"/>
      <c r="D37" s="2" t="n"/>
      <c r="E37" s="2" t="n"/>
      <c r="F37" s="2" t="n"/>
      <c r="G37" s="2" t="n"/>
      <c r="H37" s="2" t="n"/>
      <c r="I37" s="2" t="n"/>
      <c r="J37" s="2" t="n"/>
      <c r="K37" s="2" t="n"/>
      <c r="L37" s="2" t="n"/>
      <c r="M37" s="2" t="n"/>
      <c r="N37" s="2" t="n"/>
      <c r="O37" s="2" t="n"/>
      <c r="P37" s="43">
        <f>MIN(Tables!$B$13+31,Tables!$B$18)</f>
        <v/>
      </c>
      <c r="Q37" s="43">
        <f>IF('2. Results'!$C$35="Both claim at 62",INDEX(ENG_S1_BASE!$CC$2:$CC$42,31+1),IF('2. Results'!$C$35="Both claim at 67",INDEX(ENG_S2_BASE!$CC$2:$CC$42,31+1),INDEX(ENG_S3_BASE!$CC$2:$CC$42,31+1)))</f>
        <v/>
      </c>
      <c r="R37" s="43">
        <f>IF('2. Results'!$C$35="Both claim at 62",INDEX(ENG_S1_STRESS!$CC$2:$CC$42,31+1),IF('2. Results'!$C$35="Both claim at 67",INDEX(ENG_S2_STRESS!$CC$2:$CC$42,31+1),INDEX(ENG_S3_STRESS!$CC$2:$CC$42,31+1)))</f>
        <v/>
      </c>
      <c r="S37" s="2" t="n"/>
    </row>
    <row r="38">
      <c r="A38" s="2" t="n"/>
      <c r="B38" s="2" t="n"/>
      <c r="C38" s="2" t="n"/>
      <c r="D38" s="2" t="n"/>
      <c r="E38" s="2" t="n"/>
      <c r="F38" s="2" t="n"/>
      <c r="G38" s="2" t="n"/>
      <c r="H38" s="2" t="n"/>
      <c r="I38" s="2" t="n"/>
      <c r="J38" s="2" t="n"/>
      <c r="K38" s="2" t="n"/>
      <c r="L38" s="2" t="n"/>
      <c r="M38" s="2" t="n"/>
      <c r="N38" s="2" t="n"/>
      <c r="O38" s="2" t="n"/>
      <c r="P38" s="43">
        <f>MIN(Tables!$B$13+32,Tables!$B$18)</f>
        <v/>
      </c>
      <c r="Q38" s="43">
        <f>IF('2. Results'!$C$35="Both claim at 62",INDEX(ENG_S1_BASE!$CC$2:$CC$42,32+1),IF('2. Results'!$C$35="Both claim at 67",INDEX(ENG_S2_BASE!$CC$2:$CC$42,32+1),INDEX(ENG_S3_BASE!$CC$2:$CC$42,32+1)))</f>
        <v/>
      </c>
      <c r="R38" s="43">
        <f>IF('2. Results'!$C$35="Both claim at 62",INDEX(ENG_S1_STRESS!$CC$2:$CC$42,32+1),IF('2. Results'!$C$35="Both claim at 67",INDEX(ENG_S2_STRESS!$CC$2:$CC$42,32+1),INDEX(ENG_S3_STRESS!$CC$2:$CC$42,32+1)))</f>
        <v/>
      </c>
      <c r="S38" s="2" t="n"/>
    </row>
    <row r="39">
      <c r="A39" s="2" t="n"/>
      <c r="B39" s="2" t="n"/>
      <c r="C39" s="2" t="n"/>
      <c r="D39" s="2" t="n"/>
      <c r="E39" s="2" t="n"/>
      <c r="F39" s="2" t="n"/>
      <c r="G39" s="2" t="n"/>
      <c r="H39" s="2" t="n"/>
      <c r="I39" s="2" t="n"/>
      <c r="J39" s="2" t="n"/>
      <c r="K39" s="2" t="n"/>
      <c r="L39" s="2" t="n"/>
      <c r="M39" s="2" t="n"/>
      <c r="N39" s="2" t="n"/>
      <c r="O39" s="2" t="n"/>
      <c r="P39" s="43">
        <f>MIN(Tables!$B$13+33,Tables!$B$18)</f>
        <v/>
      </c>
      <c r="Q39" s="43">
        <f>IF('2. Results'!$C$35="Both claim at 62",INDEX(ENG_S1_BASE!$CC$2:$CC$42,33+1),IF('2. Results'!$C$35="Both claim at 67",INDEX(ENG_S2_BASE!$CC$2:$CC$42,33+1),INDEX(ENG_S3_BASE!$CC$2:$CC$42,33+1)))</f>
        <v/>
      </c>
      <c r="R39" s="43">
        <f>IF('2. Results'!$C$35="Both claim at 62",INDEX(ENG_S1_STRESS!$CC$2:$CC$42,33+1),IF('2. Results'!$C$35="Both claim at 67",INDEX(ENG_S2_STRESS!$CC$2:$CC$42,33+1),INDEX(ENG_S3_STRESS!$CC$2:$CC$42,33+1)))</f>
        <v/>
      </c>
      <c r="S39" s="2" t="n"/>
    </row>
    <row r="40">
      <c r="A40" s="2" t="n"/>
      <c r="B40" s="2" t="n"/>
      <c r="C40" s="2" t="n"/>
      <c r="D40" s="2" t="n"/>
      <c r="E40" s="2" t="n"/>
      <c r="F40" s="2" t="n"/>
      <c r="G40" s="2" t="n"/>
      <c r="H40" s="2" t="n"/>
      <c r="I40" s="2" t="n"/>
      <c r="J40" s="2" t="n"/>
      <c r="K40" s="2" t="n"/>
      <c r="L40" s="2" t="n"/>
      <c r="M40" s="2" t="n"/>
      <c r="N40" s="2" t="n"/>
      <c r="O40" s="2" t="n"/>
      <c r="P40" s="2" t="n"/>
      <c r="Q40" s="2" t="n"/>
      <c r="R40" s="2" t="n"/>
      <c r="S40" s="2" t="n"/>
    </row>
    <row r="41">
      <c r="A41" s="2" t="n"/>
      <c r="B41" s="2" t="n"/>
      <c r="C41" s="2" t="n"/>
      <c r="D41" s="2" t="n"/>
      <c r="E41" s="2" t="n"/>
      <c r="F41" s="2" t="n"/>
      <c r="G41" s="2" t="n"/>
      <c r="H41" s="2" t="n"/>
      <c r="I41" s="2" t="n"/>
      <c r="J41" s="2" t="n"/>
      <c r="K41" s="2" t="n"/>
      <c r="L41" s="2" t="n"/>
      <c r="M41" s="2" t="n"/>
      <c r="N41" s="2" t="n"/>
      <c r="O41" s="2" t="n"/>
      <c r="P41" s="2" t="n"/>
      <c r="Q41" s="2" t="n"/>
      <c r="R41" s="2" t="n"/>
      <c r="S41" s="2" t="n"/>
    </row>
    <row r="42">
      <c r="A42" s="2" t="n"/>
      <c r="B42" s="2" t="n"/>
      <c r="C42" s="2" t="n"/>
      <c r="D42" s="2" t="n"/>
      <c r="E42" s="2" t="n"/>
      <c r="F42" s="2" t="n"/>
      <c r="G42" s="2" t="n"/>
      <c r="H42" s="2" t="n"/>
      <c r="I42" s="2" t="n"/>
      <c r="J42" s="2" t="n"/>
      <c r="K42" s="2" t="n"/>
      <c r="L42" s="2" t="n"/>
      <c r="M42" s="2" t="n"/>
      <c r="N42" s="2" t="n"/>
      <c r="O42" s="2" t="n"/>
      <c r="P42" s="2" t="n"/>
      <c r="Q42" s="2" t="n"/>
      <c r="R42" s="2" t="n"/>
      <c r="S42" s="2" t="n"/>
    </row>
    <row r="43">
      <c r="A43" s="2" t="n"/>
      <c r="B43" s="2" t="n"/>
      <c r="C43" s="2" t="n"/>
      <c r="D43" s="2" t="n"/>
      <c r="E43" s="2" t="n"/>
      <c r="F43" s="2" t="n"/>
      <c r="G43" s="2" t="n"/>
      <c r="H43" s="2" t="n"/>
      <c r="I43" s="2" t="n"/>
      <c r="J43" s="2" t="n"/>
      <c r="K43" s="2" t="n"/>
      <c r="L43" s="2" t="n"/>
      <c r="M43" s="2" t="n"/>
      <c r="N43" s="2" t="n"/>
      <c r="O43" s="2" t="n"/>
      <c r="P43" s="2" t="n"/>
      <c r="Q43" s="2" t="n"/>
      <c r="R43" s="2" t="n"/>
      <c r="S43" s="2" t="n"/>
    </row>
    <row r="44">
      <c r="A44" s="2" t="n"/>
      <c r="B44" s="2" t="n"/>
      <c r="C44" s="2" t="n"/>
      <c r="D44" s="2" t="n"/>
      <c r="E44" s="2" t="n"/>
      <c r="F44" s="2" t="n"/>
      <c r="G44" s="2" t="n"/>
      <c r="H44" s="2" t="n"/>
      <c r="I44" s="2" t="n"/>
      <c r="J44" s="2" t="n"/>
      <c r="K44" s="2" t="n"/>
      <c r="L44" s="2" t="n"/>
      <c r="M44" s="2" t="n"/>
      <c r="N44" s="2" t="n"/>
      <c r="O44" s="2" t="n"/>
      <c r="P44" s="2" t="n"/>
      <c r="Q44" s="2" t="n"/>
      <c r="R44" s="2" t="n"/>
      <c r="S44" s="2" t="n"/>
    </row>
    <row r="45">
      <c r="A45" s="2" t="n"/>
      <c r="B45" s="2" t="n"/>
      <c r="C45" s="2" t="n"/>
      <c r="D45" s="2" t="n"/>
      <c r="E45" s="2" t="n"/>
      <c r="F45" s="2" t="n"/>
      <c r="G45" s="2" t="n"/>
      <c r="H45" s="2" t="n"/>
      <c r="I45" s="2" t="n"/>
      <c r="J45" s="2" t="n"/>
      <c r="K45" s="2" t="n"/>
      <c r="L45" s="2" t="n"/>
      <c r="M45" s="2" t="n"/>
      <c r="N45" s="2" t="n"/>
      <c r="O45" s="2" t="n"/>
      <c r="P45" s="2" t="n"/>
      <c r="Q45" s="2" t="n"/>
      <c r="R45" s="2" t="n"/>
      <c r="S45" s="2" t="n"/>
    </row>
    <row r="46">
      <c r="A46" s="2" t="n"/>
      <c r="B46" s="2" t="n"/>
      <c r="C46" s="2" t="n"/>
      <c r="D46" s="2" t="n"/>
      <c r="E46" s="2" t="n"/>
      <c r="F46" s="2" t="n"/>
      <c r="G46" s="2" t="n"/>
      <c r="H46" s="2" t="n"/>
      <c r="I46" s="2" t="n"/>
      <c r="J46" s="2" t="n"/>
      <c r="K46" s="2" t="n"/>
      <c r="L46" s="2" t="n"/>
      <c r="M46" s="2" t="n"/>
      <c r="N46" s="2" t="n"/>
      <c r="O46" s="2" t="n"/>
      <c r="P46" s="2" t="n"/>
      <c r="Q46" s="2" t="n"/>
      <c r="R46" s="2" t="n"/>
      <c r="S46" s="2" t="n"/>
    </row>
    <row r="47">
      <c r="A47" s="2" t="n"/>
      <c r="B47" s="2" t="n"/>
      <c r="C47" s="2" t="n"/>
      <c r="D47" s="2" t="n"/>
      <c r="E47" s="2" t="n"/>
      <c r="F47" s="2" t="n"/>
      <c r="G47" s="2" t="n"/>
      <c r="H47" s="2" t="n"/>
      <c r="I47" s="2" t="n"/>
      <c r="J47" s="2" t="n"/>
      <c r="K47" s="2" t="n"/>
      <c r="L47" s="2" t="n"/>
      <c r="M47" s="2" t="n"/>
      <c r="N47" s="2" t="n"/>
      <c r="O47" s="2" t="n"/>
      <c r="P47" s="2" t="n"/>
      <c r="Q47" s="2" t="n"/>
      <c r="R47" s="2" t="n"/>
      <c r="S47" s="2" t="n"/>
    </row>
    <row r="48">
      <c r="A48" s="2" t="n"/>
      <c r="B48" s="2" t="n"/>
      <c r="C48" s="2" t="n"/>
      <c r="D48" s="2" t="n"/>
      <c r="E48" s="2" t="n"/>
      <c r="F48" s="2" t="n"/>
      <c r="G48" s="2" t="n"/>
      <c r="H48" s="2" t="n"/>
      <c r="I48" s="2" t="n"/>
      <c r="J48" s="2" t="n"/>
      <c r="K48" s="2" t="n"/>
      <c r="L48" s="2" t="n"/>
      <c r="M48" s="2" t="n"/>
      <c r="N48" s="2" t="n"/>
      <c r="O48" s="2" t="n"/>
      <c r="P48" s="2" t="n"/>
      <c r="Q48" s="2" t="n"/>
      <c r="R48" s="2" t="n"/>
      <c r="S48" s="2" t="n"/>
    </row>
    <row r="49">
      <c r="A49" s="2" t="n"/>
      <c r="B49" s="2" t="n"/>
      <c r="C49" s="2" t="n"/>
      <c r="D49" s="2" t="n"/>
      <c r="E49" s="2" t="n"/>
      <c r="F49" s="2" t="n"/>
      <c r="G49" s="2" t="n"/>
      <c r="H49" s="2" t="n"/>
      <c r="I49" s="2" t="n"/>
      <c r="J49" s="2" t="n"/>
      <c r="K49" s="2" t="n"/>
      <c r="L49" s="2" t="n"/>
      <c r="M49" s="2" t="n"/>
      <c r="N49" s="2" t="n"/>
      <c r="O49" s="2" t="n"/>
      <c r="P49" s="2" t="n"/>
      <c r="Q49" s="2" t="n"/>
      <c r="R49" s="2" t="n"/>
      <c r="S49" s="2" t="n"/>
    </row>
    <row r="50">
      <c r="A50" s="2" t="n"/>
      <c r="B50" s="2" t="n"/>
      <c r="C50" s="2" t="n"/>
      <c r="D50" s="2" t="n"/>
      <c r="E50" s="2" t="n"/>
      <c r="F50" s="2" t="n"/>
      <c r="G50" s="2" t="n"/>
      <c r="H50" s="2" t="n"/>
      <c r="I50" s="2" t="n"/>
      <c r="J50" s="2" t="n"/>
      <c r="K50" s="2" t="n"/>
      <c r="L50" s="2" t="n"/>
      <c r="M50" s="2" t="n"/>
      <c r="N50" s="2" t="n"/>
      <c r="O50" s="2" t="n"/>
      <c r="P50" s="2" t="n"/>
      <c r="Q50" s="2" t="n"/>
      <c r="R50" s="2" t="n"/>
      <c r="S50" s="2" t="n"/>
    </row>
    <row r="51">
      <c r="A51" s="2" t="n"/>
      <c r="B51" s="2" t="n"/>
      <c r="C51" s="2" t="n"/>
      <c r="D51" s="2" t="n"/>
      <c r="E51" s="2" t="n"/>
      <c r="F51" s="2" t="n"/>
      <c r="G51" s="2" t="n"/>
      <c r="H51" s="2" t="n"/>
      <c r="I51" s="2" t="n"/>
      <c r="J51" s="2" t="n"/>
      <c r="K51" s="2" t="n"/>
      <c r="L51" s="2" t="n"/>
      <c r="M51" s="2" t="n"/>
      <c r="N51" s="2" t="n"/>
      <c r="O51" s="2" t="n"/>
      <c r="P51" s="2" t="n"/>
      <c r="Q51" s="2" t="n"/>
      <c r="R51" s="2" t="n"/>
      <c r="S51" s="2" t="n"/>
    </row>
    <row r="52">
      <c r="A52" s="2" t="n"/>
      <c r="B52" s="2" t="n"/>
      <c r="C52" s="2" t="n"/>
      <c r="D52" s="2" t="n"/>
      <c r="E52" s="2" t="n"/>
      <c r="F52" s="2" t="n"/>
      <c r="G52" s="2" t="n"/>
      <c r="H52" s="2" t="n"/>
      <c r="I52" s="2" t="n"/>
      <c r="J52" s="2" t="n"/>
      <c r="K52" s="2" t="n"/>
      <c r="L52" s="2" t="n"/>
      <c r="M52" s="2" t="n"/>
      <c r="N52" s="2" t="n"/>
      <c r="O52" s="2" t="n"/>
      <c r="P52" s="2" t="n"/>
      <c r="Q52" s="2" t="n"/>
      <c r="R52" s="2" t="n"/>
      <c r="S52" s="2" t="n"/>
    </row>
    <row r="53">
      <c r="A53" s="2" t="n"/>
      <c r="B53" s="2" t="n"/>
      <c r="C53" s="2" t="n"/>
      <c r="D53" s="2" t="n"/>
      <c r="E53" s="2" t="n"/>
      <c r="F53" s="2" t="n"/>
      <c r="G53" s="2" t="n"/>
      <c r="H53" s="2" t="n"/>
      <c r="I53" s="2" t="n"/>
      <c r="J53" s="2" t="n"/>
      <c r="K53" s="2" t="n"/>
      <c r="L53" s="2" t="n"/>
      <c r="M53" s="2" t="n"/>
      <c r="N53" s="2" t="n"/>
      <c r="O53" s="2" t="n"/>
      <c r="P53" s="2" t="n"/>
      <c r="Q53" s="2" t="n"/>
      <c r="R53" s="2" t="n"/>
      <c r="S53" s="2" t="n"/>
    </row>
    <row r="54">
      <c r="A54" s="2" t="n"/>
      <c r="B54" s="2" t="n"/>
      <c r="C54" s="2" t="n"/>
      <c r="D54" s="2" t="n"/>
      <c r="E54" s="2" t="n"/>
      <c r="F54" s="2" t="n"/>
      <c r="G54" s="2" t="n"/>
      <c r="H54" s="2" t="n"/>
      <c r="I54" s="2" t="n"/>
      <c r="J54" s="2" t="n"/>
      <c r="K54" s="2" t="n"/>
      <c r="L54" s="2" t="n"/>
      <c r="M54" s="2" t="n"/>
      <c r="N54" s="2" t="n"/>
      <c r="O54" s="2" t="n"/>
      <c r="P54" s="2" t="n"/>
      <c r="Q54" s="2" t="n"/>
      <c r="R54" s="2" t="n"/>
      <c r="S54" s="2" t="n"/>
    </row>
    <row r="55">
      <c r="A55" s="2" t="n"/>
      <c r="B55" s="2" t="n"/>
      <c r="C55" s="2" t="n"/>
      <c r="D55" s="2" t="n"/>
      <c r="E55" s="2" t="n"/>
      <c r="F55" s="2" t="n"/>
      <c r="G55" s="2" t="n"/>
      <c r="H55" s="2" t="n"/>
      <c r="I55" s="2" t="n"/>
      <c r="J55" s="2" t="n"/>
      <c r="K55" s="2" t="n"/>
      <c r="L55" s="2" t="n"/>
      <c r="M55" s="2" t="n"/>
      <c r="N55" s="2" t="n"/>
      <c r="O55" s="2" t="n"/>
      <c r="P55" s="2" t="n"/>
      <c r="Q55" s="2" t="n"/>
      <c r="R55" s="2" t="n"/>
      <c r="S55" s="2" t="n"/>
    </row>
    <row r="56">
      <c r="A56" s="2" t="n"/>
      <c r="B56" s="2" t="n"/>
      <c r="C56" s="2" t="n"/>
      <c r="D56" s="2" t="n"/>
      <c r="E56" s="2" t="n"/>
      <c r="F56" s="2" t="n"/>
      <c r="G56" s="2" t="n"/>
      <c r="H56" s="2" t="n"/>
      <c r="I56" s="2" t="n"/>
      <c r="J56" s="2" t="n"/>
      <c r="K56" s="2" t="n"/>
      <c r="L56" s="2" t="n"/>
      <c r="M56" s="2" t="n"/>
      <c r="N56" s="2" t="n"/>
      <c r="O56" s="2" t="n"/>
      <c r="P56" s="2" t="n"/>
      <c r="Q56" s="2" t="n"/>
      <c r="R56" s="2" t="n"/>
      <c r="S56" s="2" t="n"/>
    </row>
  </sheetData>
  <sheetProtection selectLockedCells="0" selectUnlockedCells="0" sheet="1" objects="0" insertRows="1" insertHyperlinks="1" autoFilter="1" scenarios="0" formatColumns="0" deleteColumns="1" insertColumns="1" pivotTables="1" deleteRows="1" formatCells="0" formatRows="0" sort="1"/>
  <dataValidations count="1">
    <dataValidation sqref="C35" showDropDown="0" showInputMessage="0" showErrorMessage="0" allowBlank="0" type="list">
      <formula1>"Both claim at 62,Both claim at 67,A delays to 70 · B claims at 62"</formula1>
    </dataValidation>
  </dataValidation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R47"/>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4" customWidth="1" min="1" max="1"/>
    <col width="13"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 width="13" customWidth="1" min="16" max="16"/>
    <col width="13" customWidth="1" min="17" max="17"/>
    <col width="13" customWidth="1" min="18" max="18"/>
  </cols>
  <sheetData>
    <row r="1" ht="30" customHeight="1">
      <c r="A1" s="17" t="inlineStr">
        <is>
          <t>3 · YEAR BY YEAR — inspect the engine</t>
        </is>
      </c>
      <c r="B1" s="1" t="n"/>
      <c r="C1" s="1" t="n"/>
      <c r="D1" s="1" t="n"/>
      <c r="E1" s="1" t="n"/>
      <c r="F1" s="1" t="n"/>
      <c r="G1" s="1" t="n"/>
      <c r="H1" s="1" t="n"/>
      <c r="I1" s="1" t="n"/>
      <c r="J1" s="1" t="n"/>
      <c r="K1" s="1" t="n"/>
      <c r="L1" s="1" t="n"/>
      <c r="M1" s="1" t="n"/>
      <c r="N1" s="1" t="n"/>
      <c r="O1" s="1" t="n"/>
      <c r="P1" s="1" t="n"/>
      <c r="Q1" s="1" t="n"/>
      <c r="R1" s="1" t="n"/>
    </row>
    <row r="2" ht="18" customHeight="1">
      <c r="A2" s="18" t="inlineStr">
        <is>
          <t>MODEL OUTPUT · ACTIVE STRATEGY, ONE PATH AT A TIME</t>
        </is>
      </c>
      <c r="B2" s="1" t="n"/>
      <c r="C2" s="1" t="n"/>
      <c r="D2" s="1" t="n"/>
      <c r="E2" s="1" t="n"/>
      <c r="F2" s="1" t="n"/>
      <c r="G2" s="1" t="n"/>
      <c r="H2" s="1" t="n"/>
      <c r="I2" s="1" t="n"/>
      <c r="J2" s="1" t="n"/>
      <c r="K2" s="1" t="n"/>
      <c r="L2" s="1" t="n"/>
      <c r="M2" s="1" t="n"/>
      <c r="N2" s="1" t="n"/>
      <c r="O2" s="1" t="n"/>
      <c r="P2" s="1" t="n"/>
      <c r="Q2" s="1" t="n"/>
      <c r="R2" s="1" t="n"/>
    </row>
    <row r="3">
      <c r="A3" s="39" t="inlineStr">
        <is>
          <t>Path:</t>
        </is>
      </c>
      <c r="B3" s="53" t="inlineStr">
        <is>
          <t>Stress</t>
        </is>
      </c>
      <c r="C3" s="2" t="n"/>
      <c r="D3" s="39" t="inlineStr">
        <is>
          <t>Strategy (choose on 2. Results):</t>
        </is>
      </c>
      <c r="E3" s="2" t="n"/>
      <c r="F3" s="2" t="n"/>
      <c r="G3" s="8">
        <f>'2. Results'!$C$35</f>
        <v/>
      </c>
      <c r="H3" s="2" t="n"/>
      <c r="I3" s="2" t="n"/>
      <c r="J3" s="2" t="n"/>
      <c r="K3" s="2" t="n"/>
      <c r="L3" s="2" t="n"/>
      <c r="M3" s="2" t="n"/>
      <c r="N3" s="2" t="n"/>
      <c r="O3" s="2" t="n"/>
      <c r="P3" s="2" t="n"/>
      <c r="Q3" s="2" t="n"/>
      <c r="R3" s="2" t="n"/>
    </row>
    <row r="4">
      <c r="A4" s="2" t="n"/>
      <c r="B4" s="2" t="n"/>
      <c r="C4" s="2" t="n"/>
      <c r="D4" s="2" t="n"/>
      <c r="E4" s="2" t="n"/>
      <c r="F4" s="2" t="n"/>
      <c r="G4" s="2" t="n"/>
      <c r="H4" s="2" t="n"/>
      <c r="I4" s="2" t="n"/>
      <c r="J4" s="2" t="n"/>
      <c r="K4" s="2" t="n"/>
      <c r="L4" s="2" t="n"/>
      <c r="M4" s="2" t="n"/>
      <c r="N4" s="2" t="n"/>
      <c r="O4" s="2" t="n"/>
      <c r="P4" s="2" t="n"/>
      <c r="Q4" s="2" t="n"/>
      <c r="R4" s="2" t="n"/>
    </row>
    <row r="5">
      <c r="A5" s="43" t="inlineStr">
        <is>
          <t>i</t>
        </is>
      </c>
      <c r="B5" s="54" t="inlineStr">
        <is>
          <t>Year</t>
        </is>
      </c>
      <c r="C5" s="54" t="inlineStr">
        <is>
          <t>Age</t>
        </is>
      </c>
      <c r="D5" s="54" t="inlineStr">
        <is>
          <t>Return</t>
        </is>
      </c>
      <c r="E5" s="54" t="inlineStr">
        <is>
          <t>Spending</t>
        </is>
      </c>
      <c r="F5" s="54" t="inlineStr">
        <is>
          <t>Social Security</t>
        </is>
      </c>
      <c r="G5" s="54" t="inlineStr">
        <is>
          <t>RMD</t>
        </is>
      </c>
      <c r="H5" s="54" t="inlineStr">
        <is>
          <t>Traditional wd</t>
        </is>
      </c>
      <c r="I5" s="54" t="inlineStr">
        <is>
          <t>Taxable wd</t>
        </is>
      </c>
      <c r="J5" s="54" t="inlineStr">
        <is>
          <t>Roth wd</t>
        </is>
      </c>
      <c r="K5" s="54" t="inlineStr">
        <is>
          <t>Taxable part of SS</t>
        </is>
      </c>
      <c r="L5" s="54" t="inlineStr">
        <is>
          <t>Federal tax</t>
        </is>
      </c>
      <c r="M5" s="54" t="inlineStr">
        <is>
          <t>Surplus redeposited</t>
        </is>
      </c>
      <c r="N5" s="54" t="inlineStr">
        <is>
          <t>Shortfall</t>
        </is>
      </c>
      <c r="O5" s="54" t="inlineStr">
        <is>
          <t>Traditional end</t>
        </is>
      </c>
      <c r="P5" s="54" t="inlineStr">
        <is>
          <t>Roth end</t>
        </is>
      </c>
      <c r="Q5" s="54" t="inlineStr">
        <is>
          <t>Taxable end</t>
        </is>
      </c>
      <c r="R5" s="54" t="inlineStr">
        <is>
          <t>Portfolio end</t>
        </is>
      </c>
    </row>
    <row r="6">
      <c r="A6" s="43" t="n">
        <v>0</v>
      </c>
      <c r="B6" s="51">
        <f>IF(Tables!$B$13+$A6&gt;Tables!$B$18,"",Tables!$B$14+$A6)</f>
        <v/>
      </c>
      <c r="C6" s="51">
        <f>IF(Tables!$B$13+$A6&gt;Tables!$B$18,"",Tables!$B$13+$A6)</f>
        <v/>
      </c>
      <c r="D6" s="55">
        <f>IF(Tables!$B$13+$A6&gt;Tables!$B$18,"",IF('3. Year by Year'!$B$3="Smooth",IF('2. Results'!$C$35="Both claim at 62",INDEX(ENG_S1_BASE!$D$2:$D$42,$A6+1),IF('2. Results'!$C$35="Both claim at 67",INDEX(ENG_S2_BASE!$D$2:$D$42,$A6+1),INDEX(ENG_S3_BASE!$D$2:$D$42,$A6+1))),IF('2. Results'!$C$35="Both claim at 62",INDEX(ENG_S1_STRESS!$D$2:$D$42,$A6+1),IF('2. Results'!$C$35="Both claim at 67",INDEX(ENG_S2_STRESS!$D$2:$D$42,$A6+1),INDEX(ENG_S3_STRESS!$D$2:$D$42,$A6+1)))))</f>
        <v/>
      </c>
      <c r="E6" s="50">
        <f>IF(Tables!$B$13+$A6&gt;Tables!$B$18,"",IF('3. Year by Year'!$B$3="Smooth",IF('2. Results'!$C$35="Both claim at 62",INDEX(ENG_S1_BASE!$G$2:$G$42,$A6+1),IF('2. Results'!$C$35="Both claim at 67",INDEX(ENG_S2_BASE!$G$2:$G$42,$A6+1),INDEX(ENG_S3_BASE!$G$2:$G$42,$A6+1))),IF('2. Results'!$C$35="Both claim at 62",INDEX(ENG_S1_STRESS!$G$2:$G$42,$A6+1),IF('2. Results'!$C$35="Both claim at 67",INDEX(ENG_S2_STRESS!$G$2:$G$42,$A6+1),INDEX(ENG_S3_STRESS!$G$2:$G$42,$A6+1)))))</f>
        <v/>
      </c>
      <c r="F6" s="50">
        <f>IF(Tables!$B$13+$A6&gt;Tables!$B$18,"",IF('3. Year by Year'!$B$3="Smooth",IF('2. Results'!$C$35="Both claim at 62",INDEX(ENG_S1_BASE!$H$2:$H$42,$A6+1),IF('2. Results'!$C$35="Both claim at 67",INDEX(ENG_S2_BASE!$H$2:$H$42,$A6+1),INDEX(ENG_S3_BASE!$H$2:$H$42,$A6+1))),IF('2. Results'!$C$35="Both claim at 62",INDEX(ENG_S1_STRESS!$H$2:$H$42,$A6+1),IF('2. Results'!$C$35="Both claim at 67",INDEX(ENG_S2_STRESS!$H$2:$H$42,$A6+1),INDEX(ENG_S3_STRESS!$H$2:$H$42,$A6+1)))))</f>
        <v/>
      </c>
      <c r="G6" s="50">
        <f>IF(Tables!$B$13+$A6&gt;Tables!$B$18,"",IF('3. Year by Year'!$B$3="Smooth",IF('2. Results'!$C$35="Both claim at 62",INDEX(ENG_S1_BASE!$L$2:$L$42,$A6+1),IF('2. Results'!$C$35="Both claim at 67",INDEX(ENG_S2_BASE!$L$2:$L$42,$A6+1),INDEX(ENG_S3_BASE!$L$2:$L$42,$A6+1))),IF('2. Results'!$C$35="Both claim at 62",INDEX(ENG_S1_STRESS!$L$2:$L$42,$A6+1),IF('2. Results'!$C$35="Both claim at 67",INDEX(ENG_S2_STRESS!$L$2:$L$42,$A6+1),INDEX(ENG_S3_STRESS!$L$2:$L$42,$A6+1)))))</f>
        <v/>
      </c>
      <c r="H6" s="50">
        <f>IF(Tables!$B$13+$A6&gt;Tables!$B$18,"",IF('3. Year by Year'!$B$3="Smooth",IF('2. Results'!$C$35="Both claim at 62",INDEX(ENG_S1_BASE!$BQ$2:$BQ$42,$A6+1),IF('2. Results'!$C$35="Both claim at 67",INDEX(ENG_S2_BASE!$BQ$2:$BQ$42,$A6+1),INDEX(ENG_S3_BASE!$BQ$2:$BQ$42,$A6+1))),IF('2. Results'!$C$35="Both claim at 62",INDEX(ENG_S1_STRESS!$BQ$2:$BQ$42,$A6+1),IF('2. Results'!$C$35="Both claim at 67",INDEX(ENG_S2_STRESS!$BQ$2:$BQ$42,$A6+1),INDEX(ENG_S3_STRESS!$BQ$2:$BQ$42,$A6+1)))))</f>
        <v/>
      </c>
      <c r="I6" s="50">
        <f>IF(Tables!$B$13+$A6&gt;Tables!$B$18,"",IF('3. Year by Year'!$B$3="Smooth",IF('2. Results'!$C$35="Both claim at 62",INDEX(ENG_S1_BASE!$Q$2:$Q$42,$A6+1),IF('2. Results'!$C$35="Both claim at 67",INDEX(ENG_S2_BASE!$Q$2:$Q$42,$A6+1),INDEX(ENG_S3_BASE!$Q$2:$Q$42,$A6+1))),IF('2. Results'!$C$35="Both claim at 62",INDEX(ENG_S1_STRESS!$Q$2:$Q$42,$A6+1),IF('2. Results'!$C$35="Both claim at 67",INDEX(ENG_S2_STRESS!$Q$2:$Q$42,$A6+1),INDEX(ENG_S3_STRESS!$Q$2:$Q$42,$A6+1)))))</f>
        <v/>
      </c>
      <c r="J6" s="50">
        <f>IF(Tables!$B$13+$A6&gt;Tables!$B$18,"",IF('3. Year by Year'!$B$3="Smooth",IF('2. Results'!$C$35="Both claim at 62",INDEX(ENG_S1_BASE!$BV$2:$BV$42,$A6+1),IF('2. Results'!$C$35="Both claim at 67",INDEX(ENG_S2_BASE!$BV$2:$BV$42,$A6+1),INDEX(ENG_S3_BASE!$BV$2:$BV$42,$A6+1))),IF('2. Results'!$C$35="Both claim at 62",INDEX(ENG_S1_STRESS!$BV$2:$BV$42,$A6+1),IF('2. Results'!$C$35="Both claim at 67",INDEX(ENG_S2_STRESS!$BV$2:$BV$42,$A6+1),INDEX(ENG_S3_STRESS!$BV$2:$BV$42,$A6+1)))))</f>
        <v/>
      </c>
      <c r="K6" s="50">
        <f>IF(Tables!$B$13+$A6&gt;Tables!$B$18,"",IF('3. Year by Year'!$B$3="Smooth",IF('2. Results'!$C$35="Both claim at 62",INDEX(ENG_S1_BASE!$BR$2:$BR$42,$A6+1),IF('2. Results'!$C$35="Both claim at 67",INDEX(ENG_S2_BASE!$BR$2:$BR$42,$A6+1),INDEX(ENG_S3_BASE!$BR$2:$BR$42,$A6+1))),IF('2. Results'!$C$35="Both claim at 62",INDEX(ENG_S1_STRESS!$BR$2:$BR$42,$A6+1),IF('2. Results'!$C$35="Both claim at 67",INDEX(ENG_S2_STRESS!$BR$2:$BR$42,$A6+1),INDEX(ENG_S3_STRESS!$BR$2:$BR$42,$A6+1)))))</f>
        <v/>
      </c>
      <c r="L6" s="50">
        <f>IF(Tables!$B$13+$A6&gt;Tables!$B$18,"",IF('3. Year by Year'!$B$3="Smooth",IF('2. Results'!$C$35="Both claim at 62",INDEX(ENG_S1_BASE!$BT$2:$BT$42,$A6+1),IF('2. Results'!$C$35="Both claim at 67",INDEX(ENG_S2_BASE!$BT$2:$BT$42,$A6+1),INDEX(ENG_S3_BASE!$BT$2:$BT$42,$A6+1))),IF('2. Results'!$C$35="Both claim at 62",INDEX(ENG_S1_STRESS!$BT$2:$BT$42,$A6+1),IF('2. Results'!$C$35="Both claim at 67",INDEX(ENG_S2_STRESS!$BT$2:$BT$42,$A6+1),INDEX(ENG_S3_STRESS!$BT$2:$BT$42,$A6+1)))))</f>
        <v/>
      </c>
      <c r="M6" s="50">
        <f>IF(Tables!$B$13+$A6&gt;Tables!$B$18,"",IF('3. Year by Year'!$B$3="Smooth",IF('2. Results'!$C$35="Both claim at 62",INDEX(ENG_S1_BASE!$BX$2:$BX$42,$A6+1),IF('2. Results'!$C$35="Both claim at 67",INDEX(ENG_S2_BASE!$BX$2:$BX$42,$A6+1),INDEX(ENG_S3_BASE!$BX$2:$BX$42,$A6+1))),IF('2. Results'!$C$35="Both claim at 62",INDEX(ENG_S1_STRESS!$BX$2:$BX$42,$A6+1),IF('2. Results'!$C$35="Both claim at 67",INDEX(ENG_S2_STRESS!$BX$2:$BX$42,$A6+1),INDEX(ENG_S3_STRESS!$BX$2:$BX$42,$A6+1)))))</f>
        <v/>
      </c>
      <c r="N6" s="50">
        <f>IF(Tables!$B$13+$A6&gt;Tables!$B$18,"",IF('3. Year by Year'!$B$3="Smooth",IF('2. Results'!$C$35="Both claim at 62",INDEX(ENG_S1_BASE!$BY$2:$BY$42,$A6+1),IF('2. Results'!$C$35="Both claim at 67",INDEX(ENG_S2_BASE!$BY$2:$BY$42,$A6+1),INDEX(ENG_S3_BASE!$BY$2:$BY$42,$A6+1))),IF('2. Results'!$C$35="Both claim at 62",INDEX(ENG_S1_STRESS!$BY$2:$BY$42,$A6+1),IF('2. Results'!$C$35="Both claim at 67",INDEX(ENG_S2_STRESS!$BY$2:$BY$42,$A6+1),INDEX(ENG_S3_STRESS!$BY$2:$BY$42,$A6+1)))))</f>
        <v/>
      </c>
      <c r="O6" s="50">
        <f>IF(Tables!$B$13+$A6&gt;Tables!$B$18,"",IF('3. Year by Year'!$B$3="Smooth",IF('2. Results'!$C$35="Both claim at 62",INDEX(ENG_S1_BASE!$BZ$2:$BZ$42,$A6+1),IF('2. Results'!$C$35="Both claim at 67",INDEX(ENG_S2_BASE!$BZ$2:$BZ$42,$A6+1),INDEX(ENG_S3_BASE!$BZ$2:$BZ$42,$A6+1))),IF('2. Results'!$C$35="Both claim at 62",INDEX(ENG_S1_STRESS!$BZ$2:$BZ$42,$A6+1),IF('2. Results'!$C$35="Both claim at 67",INDEX(ENG_S2_STRESS!$BZ$2:$BZ$42,$A6+1),INDEX(ENG_S3_STRESS!$BZ$2:$BZ$42,$A6+1)))))</f>
        <v/>
      </c>
      <c r="P6" s="50">
        <f>IF(Tables!$B$13+$A6&gt;Tables!$B$18,"",IF('3. Year by Year'!$B$3="Smooth",IF('2. Results'!$C$35="Both claim at 62",INDEX(ENG_S1_BASE!$CA$2:$CA$42,$A6+1),IF('2. Results'!$C$35="Both claim at 67",INDEX(ENG_S2_BASE!$CA$2:$CA$42,$A6+1),INDEX(ENG_S3_BASE!$CA$2:$CA$42,$A6+1))),IF('2. Results'!$C$35="Both claim at 62",INDEX(ENG_S1_STRESS!$CA$2:$CA$42,$A6+1),IF('2. Results'!$C$35="Both claim at 67",INDEX(ENG_S2_STRESS!$CA$2:$CA$42,$A6+1),INDEX(ENG_S3_STRESS!$CA$2:$CA$42,$A6+1)))))</f>
        <v/>
      </c>
      <c r="Q6" s="50">
        <f>IF(Tables!$B$13+$A6&gt;Tables!$B$18,"",IF('3. Year by Year'!$B$3="Smooth",IF('2. Results'!$C$35="Both claim at 62",INDEX(ENG_S1_BASE!$CB$2:$CB$42,$A6+1),IF('2. Results'!$C$35="Both claim at 67",INDEX(ENG_S2_BASE!$CB$2:$CB$42,$A6+1),INDEX(ENG_S3_BASE!$CB$2:$CB$42,$A6+1))),IF('2. Results'!$C$35="Both claim at 62",INDEX(ENG_S1_STRESS!$CB$2:$CB$42,$A6+1),IF('2. Results'!$C$35="Both claim at 67",INDEX(ENG_S2_STRESS!$CB$2:$CB$42,$A6+1),INDEX(ENG_S3_STRESS!$CB$2:$CB$42,$A6+1)))))</f>
        <v/>
      </c>
      <c r="R6" s="50">
        <f>IF(Tables!$B$13+$A6&gt;Tables!$B$18,"",IF('3. Year by Year'!$B$3="Smooth",IF('2. Results'!$C$35="Both claim at 62",INDEX(ENG_S1_BASE!$CC$2:$CC$42,$A6+1),IF('2. Results'!$C$35="Both claim at 67",INDEX(ENG_S2_BASE!$CC$2:$CC$42,$A6+1),INDEX(ENG_S3_BASE!$CC$2:$CC$42,$A6+1))),IF('2. Results'!$C$35="Both claim at 62",INDEX(ENG_S1_STRESS!$CC$2:$CC$42,$A6+1),IF('2. Results'!$C$35="Both claim at 67",INDEX(ENG_S2_STRESS!$CC$2:$CC$42,$A6+1),INDEX(ENG_S3_STRESS!$CC$2:$CC$42,$A6+1)))))</f>
        <v/>
      </c>
    </row>
    <row r="7">
      <c r="A7" s="43" t="n">
        <v>1</v>
      </c>
      <c r="B7" s="48">
        <f>IF(Tables!$B$13+$A7&gt;Tables!$B$18,"",Tables!$B$14+$A7)</f>
        <v/>
      </c>
      <c r="C7" s="48">
        <f>IF(Tables!$B$13+$A7&gt;Tables!$B$18,"",Tables!$B$13+$A7)</f>
        <v/>
      </c>
      <c r="D7" s="56">
        <f>IF(Tables!$B$13+$A7&gt;Tables!$B$18,"",IF('3. Year by Year'!$B$3="Smooth",IF('2. Results'!$C$35="Both claim at 62",INDEX(ENG_S1_BASE!$D$2:$D$42,$A7+1),IF('2. Results'!$C$35="Both claim at 67",INDEX(ENG_S2_BASE!$D$2:$D$42,$A7+1),INDEX(ENG_S3_BASE!$D$2:$D$42,$A7+1))),IF('2. Results'!$C$35="Both claim at 62",INDEX(ENG_S1_STRESS!$D$2:$D$42,$A7+1),IF('2. Results'!$C$35="Both claim at 67",INDEX(ENG_S2_STRESS!$D$2:$D$42,$A7+1),INDEX(ENG_S3_STRESS!$D$2:$D$42,$A7+1)))))</f>
        <v/>
      </c>
      <c r="E7" s="47">
        <f>IF(Tables!$B$13+$A7&gt;Tables!$B$18,"",IF('3. Year by Year'!$B$3="Smooth",IF('2. Results'!$C$35="Both claim at 62",INDEX(ENG_S1_BASE!$G$2:$G$42,$A7+1),IF('2. Results'!$C$35="Both claim at 67",INDEX(ENG_S2_BASE!$G$2:$G$42,$A7+1),INDEX(ENG_S3_BASE!$G$2:$G$42,$A7+1))),IF('2. Results'!$C$35="Both claim at 62",INDEX(ENG_S1_STRESS!$G$2:$G$42,$A7+1),IF('2. Results'!$C$35="Both claim at 67",INDEX(ENG_S2_STRESS!$G$2:$G$42,$A7+1),INDEX(ENG_S3_STRESS!$G$2:$G$42,$A7+1)))))</f>
        <v/>
      </c>
      <c r="F7" s="47">
        <f>IF(Tables!$B$13+$A7&gt;Tables!$B$18,"",IF('3. Year by Year'!$B$3="Smooth",IF('2. Results'!$C$35="Both claim at 62",INDEX(ENG_S1_BASE!$H$2:$H$42,$A7+1),IF('2. Results'!$C$35="Both claim at 67",INDEX(ENG_S2_BASE!$H$2:$H$42,$A7+1),INDEX(ENG_S3_BASE!$H$2:$H$42,$A7+1))),IF('2. Results'!$C$35="Both claim at 62",INDEX(ENG_S1_STRESS!$H$2:$H$42,$A7+1),IF('2. Results'!$C$35="Both claim at 67",INDEX(ENG_S2_STRESS!$H$2:$H$42,$A7+1),INDEX(ENG_S3_STRESS!$H$2:$H$42,$A7+1)))))</f>
        <v/>
      </c>
      <c r="G7" s="47">
        <f>IF(Tables!$B$13+$A7&gt;Tables!$B$18,"",IF('3. Year by Year'!$B$3="Smooth",IF('2. Results'!$C$35="Both claim at 62",INDEX(ENG_S1_BASE!$L$2:$L$42,$A7+1),IF('2. Results'!$C$35="Both claim at 67",INDEX(ENG_S2_BASE!$L$2:$L$42,$A7+1),INDEX(ENG_S3_BASE!$L$2:$L$42,$A7+1))),IF('2. Results'!$C$35="Both claim at 62",INDEX(ENG_S1_STRESS!$L$2:$L$42,$A7+1),IF('2. Results'!$C$35="Both claim at 67",INDEX(ENG_S2_STRESS!$L$2:$L$42,$A7+1),INDEX(ENG_S3_STRESS!$L$2:$L$42,$A7+1)))))</f>
        <v/>
      </c>
      <c r="H7" s="47">
        <f>IF(Tables!$B$13+$A7&gt;Tables!$B$18,"",IF('3. Year by Year'!$B$3="Smooth",IF('2. Results'!$C$35="Both claim at 62",INDEX(ENG_S1_BASE!$BQ$2:$BQ$42,$A7+1),IF('2. Results'!$C$35="Both claim at 67",INDEX(ENG_S2_BASE!$BQ$2:$BQ$42,$A7+1),INDEX(ENG_S3_BASE!$BQ$2:$BQ$42,$A7+1))),IF('2. Results'!$C$35="Both claim at 62",INDEX(ENG_S1_STRESS!$BQ$2:$BQ$42,$A7+1),IF('2. Results'!$C$35="Both claim at 67",INDEX(ENG_S2_STRESS!$BQ$2:$BQ$42,$A7+1),INDEX(ENG_S3_STRESS!$BQ$2:$BQ$42,$A7+1)))))</f>
        <v/>
      </c>
      <c r="I7" s="47">
        <f>IF(Tables!$B$13+$A7&gt;Tables!$B$18,"",IF('3. Year by Year'!$B$3="Smooth",IF('2. Results'!$C$35="Both claim at 62",INDEX(ENG_S1_BASE!$Q$2:$Q$42,$A7+1),IF('2. Results'!$C$35="Both claim at 67",INDEX(ENG_S2_BASE!$Q$2:$Q$42,$A7+1),INDEX(ENG_S3_BASE!$Q$2:$Q$42,$A7+1))),IF('2. Results'!$C$35="Both claim at 62",INDEX(ENG_S1_STRESS!$Q$2:$Q$42,$A7+1),IF('2. Results'!$C$35="Both claim at 67",INDEX(ENG_S2_STRESS!$Q$2:$Q$42,$A7+1),INDEX(ENG_S3_STRESS!$Q$2:$Q$42,$A7+1)))))</f>
        <v/>
      </c>
      <c r="J7" s="47">
        <f>IF(Tables!$B$13+$A7&gt;Tables!$B$18,"",IF('3. Year by Year'!$B$3="Smooth",IF('2. Results'!$C$35="Both claim at 62",INDEX(ENG_S1_BASE!$BV$2:$BV$42,$A7+1),IF('2. Results'!$C$35="Both claim at 67",INDEX(ENG_S2_BASE!$BV$2:$BV$42,$A7+1),INDEX(ENG_S3_BASE!$BV$2:$BV$42,$A7+1))),IF('2. Results'!$C$35="Both claim at 62",INDEX(ENG_S1_STRESS!$BV$2:$BV$42,$A7+1),IF('2. Results'!$C$35="Both claim at 67",INDEX(ENG_S2_STRESS!$BV$2:$BV$42,$A7+1),INDEX(ENG_S3_STRESS!$BV$2:$BV$42,$A7+1)))))</f>
        <v/>
      </c>
      <c r="K7" s="47">
        <f>IF(Tables!$B$13+$A7&gt;Tables!$B$18,"",IF('3. Year by Year'!$B$3="Smooth",IF('2. Results'!$C$35="Both claim at 62",INDEX(ENG_S1_BASE!$BR$2:$BR$42,$A7+1),IF('2. Results'!$C$35="Both claim at 67",INDEX(ENG_S2_BASE!$BR$2:$BR$42,$A7+1),INDEX(ENG_S3_BASE!$BR$2:$BR$42,$A7+1))),IF('2. Results'!$C$35="Both claim at 62",INDEX(ENG_S1_STRESS!$BR$2:$BR$42,$A7+1),IF('2. Results'!$C$35="Both claim at 67",INDEX(ENG_S2_STRESS!$BR$2:$BR$42,$A7+1),INDEX(ENG_S3_STRESS!$BR$2:$BR$42,$A7+1)))))</f>
        <v/>
      </c>
      <c r="L7" s="47">
        <f>IF(Tables!$B$13+$A7&gt;Tables!$B$18,"",IF('3. Year by Year'!$B$3="Smooth",IF('2. Results'!$C$35="Both claim at 62",INDEX(ENG_S1_BASE!$BT$2:$BT$42,$A7+1),IF('2. Results'!$C$35="Both claim at 67",INDEX(ENG_S2_BASE!$BT$2:$BT$42,$A7+1),INDEX(ENG_S3_BASE!$BT$2:$BT$42,$A7+1))),IF('2. Results'!$C$35="Both claim at 62",INDEX(ENG_S1_STRESS!$BT$2:$BT$42,$A7+1),IF('2. Results'!$C$35="Both claim at 67",INDEX(ENG_S2_STRESS!$BT$2:$BT$42,$A7+1),INDEX(ENG_S3_STRESS!$BT$2:$BT$42,$A7+1)))))</f>
        <v/>
      </c>
      <c r="M7" s="47">
        <f>IF(Tables!$B$13+$A7&gt;Tables!$B$18,"",IF('3. Year by Year'!$B$3="Smooth",IF('2. Results'!$C$35="Both claim at 62",INDEX(ENG_S1_BASE!$BX$2:$BX$42,$A7+1),IF('2. Results'!$C$35="Both claim at 67",INDEX(ENG_S2_BASE!$BX$2:$BX$42,$A7+1),INDEX(ENG_S3_BASE!$BX$2:$BX$42,$A7+1))),IF('2. Results'!$C$35="Both claim at 62",INDEX(ENG_S1_STRESS!$BX$2:$BX$42,$A7+1),IF('2. Results'!$C$35="Both claim at 67",INDEX(ENG_S2_STRESS!$BX$2:$BX$42,$A7+1),INDEX(ENG_S3_STRESS!$BX$2:$BX$42,$A7+1)))))</f>
        <v/>
      </c>
      <c r="N7" s="47">
        <f>IF(Tables!$B$13+$A7&gt;Tables!$B$18,"",IF('3. Year by Year'!$B$3="Smooth",IF('2. Results'!$C$35="Both claim at 62",INDEX(ENG_S1_BASE!$BY$2:$BY$42,$A7+1),IF('2. Results'!$C$35="Both claim at 67",INDEX(ENG_S2_BASE!$BY$2:$BY$42,$A7+1),INDEX(ENG_S3_BASE!$BY$2:$BY$42,$A7+1))),IF('2. Results'!$C$35="Both claim at 62",INDEX(ENG_S1_STRESS!$BY$2:$BY$42,$A7+1),IF('2. Results'!$C$35="Both claim at 67",INDEX(ENG_S2_STRESS!$BY$2:$BY$42,$A7+1),INDEX(ENG_S3_STRESS!$BY$2:$BY$42,$A7+1)))))</f>
        <v/>
      </c>
      <c r="O7" s="47">
        <f>IF(Tables!$B$13+$A7&gt;Tables!$B$18,"",IF('3. Year by Year'!$B$3="Smooth",IF('2. Results'!$C$35="Both claim at 62",INDEX(ENG_S1_BASE!$BZ$2:$BZ$42,$A7+1),IF('2. Results'!$C$35="Both claim at 67",INDEX(ENG_S2_BASE!$BZ$2:$BZ$42,$A7+1),INDEX(ENG_S3_BASE!$BZ$2:$BZ$42,$A7+1))),IF('2. Results'!$C$35="Both claim at 62",INDEX(ENG_S1_STRESS!$BZ$2:$BZ$42,$A7+1),IF('2. Results'!$C$35="Both claim at 67",INDEX(ENG_S2_STRESS!$BZ$2:$BZ$42,$A7+1),INDEX(ENG_S3_STRESS!$BZ$2:$BZ$42,$A7+1)))))</f>
        <v/>
      </c>
      <c r="P7" s="47">
        <f>IF(Tables!$B$13+$A7&gt;Tables!$B$18,"",IF('3. Year by Year'!$B$3="Smooth",IF('2. Results'!$C$35="Both claim at 62",INDEX(ENG_S1_BASE!$CA$2:$CA$42,$A7+1),IF('2. Results'!$C$35="Both claim at 67",INDEX(ENG_S2_BASE!$CA$2:$CA$42,$A7+1),INDEX(ENG_S3_BASE!$CA$2:$CA$42,$A7+1))),IF('2. Results'!$C$35="Both claim at 62",INDEX(ENG_S1_STRESS!$CA$2:$CA$42,$A7+1),IF('2. Results'!$C$35="Both claim at 67",INDEX(ENG_S2_STRESS!$CA$2:$CA$42,$A7+1),INDEX(ENG_S3_STRESS!$CA$2:$CA$42,$A7+1)))))</f>
        <v/>
      </c>
      <c r="Q7" s="47">
        <f>IF(Tables!$B$13+$A7&gt;Tables!$B$18,"",IF('3. Year by Year'!$B$3="Smooth",IF('2. Results'!$C$35="Both claim at 62",INDEX(ENG_S1_BASE!$CB$2:$CB$42,$A7+1),IF('2. Results'!$C$35="Both claim at 67",INDEX(ENG_S2_BASE!$CB$2:$CB$42,$A7+1),INDEX(ENG_S3_BASE!$CB$2:$CB$42,$A7+1))),IF('2. Results'!$C$35="Both claim at 62",INDEX(ENG_S1_STRESS!$CB$2:$CB$42,$A7+1),IF('2. Results'!$C$35="Both claim at 67",INDEX(ENG_S2_STRESS!$CB$2:$CB$42,$A7+1),INDEX(ENG_S3_STRESS!$CB$2:$CB$42,$A7+1)))))</f>
        <v/>
      </c>
      <c r="R7" s="47">
        <f>IF(Tables!$B$13+$A7&gt;Tables!$B$18,"",IF('3. Year by Year'!$B$3="Smooth",IF('2. Results'!$C$35="Both claim at 62",INDEX(ENG_S1_BASE!$CC$2:$CC$42,$A7+1),IF('2. Results'!$C$35="Both claim at 67",INDEX(ENG_S2_BASE!$CC$2:$CC$42,$A7+1),INDEX(ENG_S3_BASE!$CC$2:$CC$42,$A7+1))),IF('2. Results'!$C$35="Both claim at 62",INDEX(ENG_S1_STRESS!$CC$2:$CC$42,$A7+1),IF('2. Results'!$C$35="Both claim at 67",INDEX(ENG_S2_STRESS!$CC$2:$CC$42,$A7+1),INDEX(ENG_S3_STRESS!$CC$2:$CC$42,$A7+1)))))</f>
        <v/>
      </c>
    </row>
    <row r="8">
      <c r="A8" s="43" t="n">
        <v>2</v>
      </c>
      <c r="B8" s="51">
        <f>IF(Tables!$B$13+$A8&gt;Tables!$B$18,"",Tables!$B$14+$A8)</f>
        <v/>
      </c>
      <c r="C8" s="51">
        <f>IF(Tables!$B$13+$A8&gt;Tables!$B$18,"",Tables!$B$13+$A8)</f>
        <v/>
      </c>
      <c r="D8" s="55">
        <f>IF(Tables!$B$13+$A8&gt;Tables!$B$18,"",IF('3. Year by Year'!$B$3="Smooth",IF('2. Results'!$C$35="Both claim at 62",INDEX(ENG_S1_BASE!$D$2:$D$42,$A8+1),IF('2. Results'!$C$35="Both claim at 67",INDEX(ENG_S2_BASE!$D$2:$D$42,$A8+1),INDEX(ENG_S3_BASE!$D$2:$D$42,$A8+1))),IF('2. Results'!$C$35="Both claim at 62",INDEX(ENG_S1_STRESS!$D$2:$D$42,$A8+1),IF('2. Results'!$C$35="Both claim at 67",INDEX(ENG_S2_STRESS!$D$2:$D$42,$A8+1),INDEX(ENG_S3_STRESS!$D$2:$D$42,$A8+1)))))</f>
        <v/>
      </c>
      <c r="E8" s="50">
        <f>IF(Tables!$B$13+$A8&gt;Tables!$B$18,"",IF('3. Year by Year'!$B$3="Smooth",IF('2. Results'!$C$35="Both claim at 62",INDEX(ENG_S1_BASE!$G$2:$G$42,$A8+1),IF('2. Results'!$C$35="Both claim at 67",INDEX(ENG_S2_BASE!$G$2:$G$42,$A8+1),INDEX(ENG_S3_BASE!$G$2:$G$42,$A8+1))),IF('2. Results'!$C$35="Both claim at 62",INDEX(ENG_S1_STRESS!$G$2:$G$42,$A8+1),IF('2. Results'!$C$35="Both claim at 67",INDEX(ENG_S2_STRESS!$G$2:$G$42,$A8+1),INDEX(ENG_S3_STRESS!$G$2:$G$42,$A8+1)))))</f>
        <v/>
      </c>
      <c r="F8" s="50">
        <f>IF(Tables!$B$13+$A8&gt;Tables!$B$18,"",IF('3. Year by Year'!$B$3="Smooth",IF('2. Results'!$C$35="Both claim at 62",INDEX(ENG_S1_BASE!$H$2:$H$42,$A8+1),IF('2. Results'!$C$35="Both claim at 67",INDEX(ENG_S2_BASE!$H$2:$H$42,$A8+1),INDEX(ENG_S3_BASE!$H$2:$H$42,$A8+1))),IF('2. Results'!$C$35="Both claim at 62",INDEX(ENG_S1_STRESS!$H$2:$H$42,$A8+1),IF('2. Results'!$C$35="Both claim at 67",INDEX(ENG_S2_STRESS!$H$2:$H$42,$A8+1),INDEX(ENG_S3_STRESS!$H$2:$H$42,$A8+1)))))</f>
        <v/>
      </c>
      <c r="G8" s="50">
        <f>IF(Tables!$B$13+$A8&gt;Tables!$B$18,"",IF('3. Year by Year'!$B$3="Smooth",IF('2. Results'!$C$35="Both claim at 62",INDEX(ENG_S1_BASE!$L$2:$L$42,$A8+1),IF('2. Results'!$C$35="Both claim at 67",INDEX(ENG_S2_BASE!$L$2:$L$42,$A8+1),INDEX(ENG_S3_BASE!$L$2:$L$42,$A8+1))),IF('2. Results'!$C$35="Both claim at 62",INDEX(ENG_S1_STRESS!$L$2:$L$42,$A8+1),IF('2. Results'!$C$35="Both claim at 67",INDEX(ENG_S2_STRESS!$L$2:$L$42,$A8+1),INDEX(ENG_S3_STRESS!$L$2:$L$42,$A8+1)))))</f>
        <v/>
      </c>
      <c r="H8" s="50">
        <f>IF(Tables!$B$13+$A8&gt;Tables!$B$18,"",IF('3. Year by Year'!$B$3="Smooth",IF('2. Results'!$C$35="Both claim at 62",INDEX(ENG_S1_BASE!$BQ$2:$BQ$42,$A8+1),IF('2. Results'!$C$35="Both claim at 67",INDEX(ENG_S2_BASE!$BQ$2:$BQ$42,$A8+1),INDEX(ENG_S3_BASE!$BQ$2:$BQ$42,$A8+1))),IF('2. Results'!$C$35="Both claim at 62",INDEX(ENG_S1_STRESS!$BQ$2:$BQ$42,$A8+1),IF('2. Results'!$C$35="Both claim at 67",INDEX(ENG_S2_STRESS!$BQ$2:$BQ$42,$A8+1),INDEX(ENG_S3_STRESS!$BQ$2:$BQ$42,$A8+1)))))</f>
        <v/>
      </c>
      <c r="I8" s="50">
        <f>IF(Tables!$B$13+$A8&gt;Tables!$B$18,"",IF('3. Year by Year'!$B$3="Smooth",IF('2. Results'!$C$35="Both claim at 62",INDEX(ENG_S1_BASE!$Q$2:$Q$42,$A8+1),IF('2. Results'!$C$35="Both claim at 67",INDEX(ENG_S2_BASE!$Q$2:$Q$42,$A8+1),INDEX(ENG_S3_BASE!$Q$2:$Q$42,$A8+1))),IF('2. Results'!$C$35="Both claim at 62",INDEX(ENG_S1_STRESS!$Q$2:$Q$42,$A8+1),IF('2. Results'!$C$35="Both claim at 67",INDEX(ENG_S2_STRESS!$Q$2:$Q$42,$A8+1),INDEX(ENG_S3_STRESS!$Q$2:$Q$42,$A8+1)))))</f>
        <v/>
      </c>
      <c r="J8" s="50">
        <f>IF(Tables!$B$13+$A8&gt;Tables!$B$18,"",IF('3. Year by Year'!$B$3="Smooth",IF('2. Results'!$C$35="Both claim at 62",INDEX(ENG_S1_BASE!$BV$2:$BV$42,$A8+1),IF('2. Results'!$C$35="Both claim at 67",INDEX(ENG_S2_BASE!$BV$2:$BV$42,$A8+1),INDEX(ENG_S3_BASE!$BV$2:$BV$42,$A8+1))),IF('2. Results'!$C$35="Both claim at 62",INDEX(ENG_S1_STRESS!$BV$2:$BV$42,$A8+1),IF('2. Results'!$C$35="Both claim at 67",INDEX(ENG_S2_STRESS!$BV$2:$BV$42,$A8+1),INDEX(ENG_S3_STRESS!$BV$2:$BV$42,$A8+1)))))</f>
        <v/>
      </c>
      <c r="K8" s="50">
        <f>IF(Tables!$B$13+$A8&gt;Tables!$B$18,"",IF('3. Year by Year'!$B$3="Smooth",IF('2. Results'!$C$35="Both claim at 62",INDEX(ENG_S1_BASE!$BR$2:$BR$42,$A8+1),IF('2. Results'!$C$35="Both claim at 67",INDEX(ENG_S2_BASE!$BR$2:$BR$42,$A8+1),INDEX(ENG_S3_BASE!$BR$2:$BR$42,$A8+1))),IF('2. Results'!$C$35="Both claim at 62",INDEX(ENG_S1_STRESS!$BR$2:$BR$42,$A8+1),IF('2. Results'!$C$35="Both claim at 67",INDEX(ENG_S2_STRESS!$BR$2:$BR$42,$A8+1),INDEX(ENG_S3_STRESS!$BR$2:$BR$42,$A8+1)))))</f>
        <v/>
      </c>
      <c r="L8" s="50">
        <f>IF(Tables!$B$13+$A8&gt;Tables!$B$18,"",IF('3. Year by Year'!$B$3="Smooth",IF('2. Results'!$C$35="Both claim at 62",INDEX(ENG_S1_BASE!$BT$2:$BT$42,$A8+1),IF('2. Results'!$C$35="Both claim at 67",INDEX(ENG_S2_BASE!$BT$2:$BT$42,$A8+1),INDEX(ENG_S3_BASE!$BT$2:$BT$42,$A8+1))),IF('2. Results'!$C$35="Both claim at 62",INDEX(ENG_S1_STRESS!$BT$2:$BT$42,$A8+1),IF('2. Results'!$C$35="Both claim at 67",INDEX(ENG_S2_STRESS!$BT$2:$BT$42,$A8+1),INDEX(ENG_S3_STRESS!$BT$2:$BT$42,$A8+1)))))</f>
        <v/>
      </c>
      <c r="M8" s="50">
        <f>IF(Tables!$B$13+$A8&gt;Tables!$B$18,"",IF('3. Year by Year'!$B$3="Smooth",IF('2. Results'!$C$35="Both claim at 62",INDEX(ENG_S1_BASE!$BX$2:$BX$42,$A8+1),IF('2. Results'!$C$35="Both claim at 67",INDEX(ENG_S2_BASE!$BX$2:$BX$42,$A8+1),INDEX(ENG_S3_BASE!$BX$2:$BX$42,$A8+1))),IF('2. Results'!$C$35="Both claim at 62",INDEX(ENG_S1_STRESS!$BX$2:$BX$42,$A8+1),IF('2. Results'!$C$35="Both claim at 67",INDEX(ENG_S2_STRESS!$BX$2:$BX$42,$A8+1),INDEX(ENG_S3_STRESS!$BX$2:$BX$42,$A8+1)))))</f>
        <v/>
      </c>
      <c r="N8" s="50">
        <f>IF(Tables!$B$13+$A8&gt;Tables!$B$18,"",IF('3. Year by Year'!$B$3="Smooth",IF('2. Results'!$C$35="Both claim at 62",INDEX(ENG_S1_BASE!$BY$2:$BY$42,$A8+1),IF('2. Results'!$C$35="Both claim at 67",INDEX(ENG_S2_BASE!$BY$2:$BY$42,$A8+1),INDEX(ENG_S3_BASE!$BY$2:$BY$42,$A8+1))),IF('2. Results'!$C$35="Both claim at 62",INDEX(ENG_S1_STRESS!$BY$2:$BY$42,$A8+1),IF('2. Results'!$C$35="Both claim at 67",INDEX(ENG_S2_STRESS!$BY$2:$BY$42,$A8+1),INDEX(ENG_S3_STRESS!$BY$2:$BY$42,$A8+1)))))</f>
        <v/>
      </c>
      <c r="O8" s="50">
        <f>IF(Tables!$B$13+$A8&gt;Tables!$B$18,"",IF('3. Year by Year'!$B$3="Smooth",IF('2. Results'!$C$35="Both claim at 62",INDEX(ENG_S1_BASE!$BZ$2:$BZ$42,$A8+1),IF('2. Results'!$C$35="Both claim at 67",INDEX(ENG_S2_BASE!$BZ$2:$BZ$42,$A8+1),INDEX(ENG_S3_BASE!$BZ$2:$BZ$42,$A8+1))),IF('2. Results'!$C$35="Both claim at 62",INDEX(ENG_S1_STRESS!$BZ$2:$BZ$42,$A8+1),IF('2. Results'!$C$35="Both claim at 67",INDEX(ENG_S2_STRESS!$BZ$2:$BZ$42,$A8+1),INDEX(ENG_S3_STRESS!$BZ$2:$BZ$42,$A8+1)))))</f>
        <v/>
      </c>
      <c r="P8" s="50">
        <f>IF(Tables!$B$13+$A8&gt;Tables!$B$18,"",IF('3. Year by Year'!$B$3="Smooth",IF('2. Results'!$C$35="Both claim at 62",INDEX(ENG_S1_BASE!$CA$2:$CA$42,$A8+1),IF('2. Results'!$C$35="Both claim at 67",INDEX(ENG_S2_BASE!$CA$2:$CA$42,$A8+1),INDEX(ENG_S3_BASE!$CA$2:$CA$42,$A8+1))),IF('2. Results'!$C$35="Both claim at 62",INDEX(ENG_S1_STRESS!$CA$2:$CA$42,$A8+1),IF('2. Results'!$C$35="Both claim at 67",INDEX(ENG_S2_STRESS!$CA$2:$CA$42,$A8+1),INDEX(ENG_S3_STRESS!$CA$2:$CA$42,$A8+1)))))</f>
        <v/>
      </c>
      <c r="Q8" s="50">
        <f>IF(Tables!$B$13+$A8&gt;Tables!$B$18,"",IF('3. Year by Year'!$B$3="Smooth",IF('2. Results'!$C$35="Both claim at 62",INDEX(ENG_S1_BASE!$CB$2:$CB$42,$A8+1),IF('2. Results'!$C$35="Both claim at 67",INDEX(ENG_S2_BASE!$CB$2:$CB$42,$A8+1),INDEX(ENG_S3_BASE!$CB$2:$CB$42,$A8+1))),IF('2. Results'!$C$35="Both claim at 62",INDEX(ENG_S1_STRESS!$CB$2:$CB$42,$A8+1),IF('2. Results'!$C$35="Both claim at 67",INDEX(ENG_S2_STRESS!$CB$2:$CB$42,$A8+1),INDEX(ENG_S3_STRESS!$CB$2:$CB$42,$A8+1)))))</f>
        <v/>
      </c>
      <c r="R8" s="50">
        <f>IF(Tables!$B$13+$A8&gt;Tables!$B$18,"",IF('3. Year by Year'!$B$3="Smooth",IF('2. Results'!$C$35="Both claim at 62",INDEX(ENG_S1_BASE!$CC$2:$CC$42,$A8+1),IF('2. Results'!$C$35="Both claim at 67",INDEX(ENG_S2_BASE!$CC$2:$CC$42,$A8+1),INDEX(ENG_S3_BASE!$CC$2:$CC$42,$A8+1))),IF('2. Results'!$C$35="Both claim at 62",INDEX(ENG_S1_STRESS!$CC$2:$CC$42,$A8+1),IF('2. Results'!$C$35="Both claim at 67",INDEX(ENG_S2_STRESS!$CC$2:$CC$42,$A8+1),INDEX(ENG_S3_STRESS!$CC$2:$CC$42,$A8+1)))))</f>
        <v/>
      </c>
    </row>
    <row r="9">
      <c r="A9" s="43" t="n">
        <v>3</v>
      </c>
      <c r="B9" s="48">
        <f>IF(Tables!$B$13+$A9&gt;Tables!$B$18,"",Tables!$B$14+$A9)</f>
        <v/>
      </c>
      <c r="C9" s="48">
        <f>IF(Tables!$B$13+$A9&gt;Tables!$B$18,"",Tables!$B$13+$A9)</f>
        <v/>
      </c>
      <c r="D9" s="56">
        <f>IF(Tables!$B$13+$A9&gt;Tables!$B$18,"",IF('3. Year by Year'!$B$3="Smooth",IF('2. Results'!$C$35="Both claim at 62",INDEX(ENG_S1_BASE!$D$2:$D$42,$A9+1),IF('2. Results'!$C$35="Both claim at 67",INDEX(ENG_S2_BASE!$D$2:$D$42,$A9+1),INDEX(ENG_S3_BASE!$D$2:$D$42,$A9+1))),IF('2. Results'!$C$35="Both claim at 62",INDEX(ENG_S1_STRESS!$D$2:$D$42,$A9+1),IF('2. Results'!$C$35="Both claim at 67",INDEX(ENG_S2_STRESS!$D$2:$D$42,$A9+1),INDEX(ENG_S3_STRESS!$D$2:$D$42,$A9+1)))))</f>
        <v/>
      </c>
      <c r="E9" s="47">
        <f>IF(Tables!$B$13+$A9&gt;Tables!$B$18,"",IF('3. Year by Year'!$B$3="Smooth",IF('2. Results'!$C$35="Both claim at 62",INDEX(ENG_S1_BASE!$G$2:$G$42,$A9+1),IF('2. Results'!$C$35="Both claim at 67",INDEX(ENG_S2_BASE!$G$2:$G$42,$A9+1),INDEX(ENG_S3_BASE!$G$2:$G$42,$A9+1))),IF('2. Results'!$C$35="Both claim at 62",INDEX(ENG_S1_STRESS!$G$2:$G$42,$A9+1),IF('2. Results'!$C$35="Both claim at 67",INDEX(ENG_S2_STRESS!$G$2:$G$42,$A9+1),INDEX(ENG_S3_STRESS!$G$2:$G$42,$A9+1)))))</f>
        <v/>
      </c>
      <c r="F9" s="47">
        <f>IF(Tables!$B$13+$A9&gt;Tables!$B$18,"",IF('3. Year by Year'!$B$3="Smooth",IF('2. Results'!$C$35="Both claim at 62",INDEX(ENG_S1_BASE!$H$2:$H$42,$A9+1),IF('2. Results'!$C$35="Both claim at 67",INDEX(ENG_S2_BASE!$H$2:$H$42,$A9+1),INDEX(ENG_S3_BASE!$H$2:$H$42,$A9+1))),IF('2. Results'!$C$35="Both claim at 62",INDEX(ENG_S1_STRESS!$H$2:$H$42,$A9+1),IF('2. Results'!$C$35="Both claim at 67",INDEX(ENG_S2_STRESS!$H$2:$H$42,$A9+1),INDEX(ENG_S3_STRESS!$H$2:$H$42,$A9+1)))))</f>
        <v/>
      </c>
      <c r="G9" s="47">
        <f>IF(Tables!$B$13+$A9&gt;Tables!$B$18,"",IF('3. Year by Year'!$B$3="Smooth",IF('2. Results'!$C$35="Both claim at 62",INDEX(ENG_S1_BASE!$L$2:$L$42,$A9+1),IF('2. Results'!$C$35="Both claim at 67",INDEX(ENG_S2_BASE!$L$2:$L$42,$A9+1),INDEX(ENG_S3_BASE!$L$2:$L$42,$A9+1))),IF('2. Results'!$C$35="Both claim at 62",INDEX(ENG_S1_STRESS!$L$2:$L$42,$A9+1),IF('2. Results'!$C$35="Both claim at 67",INDEX(ENG_S2_STRESS!$L$2:$L$42,$A9+1),INDEX(ENG_S3_STRESS!$L$2:$L$42,$A9+1)))))</f>
        <v/>
      </c>
      <c r="H9" s="47">
        <f>IF(Tables!$B$13+$A9&gt;Tables!$B$18,"",IF('3. Year by Year'!$B$3="Smooth",IF('2. Results'!$C$35="Both claim at 62",INDEX(ENG_S1_BASE!$BQ$2:$BQ$42,$A9+1),IF('2. Results'!$C$35="Both claim at 67",INDEX(ENG_S2_BASE!$BQ$2:$BQ$42,$A9+1),INDEX(ENG_S3_BASE!$BQ$2:$BQ$42,$A9+1))),IF('2. Results'!$C$35="Both claim at 62",INDEX(ENG_S1_STRESS!$BQ$2:$BQ$42,$A9+1),IF('2. Results'!$C$35="Both claim at 67",INDEX(ENG_S2_STRESS!$BQ$2:$BQ$42,$A9+1),INDEX(ENG_S3_STRESS!$BQ$2:$BQ$42,$A9+1)))))</f>
        <v/>
      </c>
      <c r="I9" s="47">
        <f>IF(Tables!$B$13+$A9&gt;Tables!$B$18,"",IF('3. Year by Year'!$B$3="Smooth",IF('2. Results'!$C$35="Both claim at 62",INDEX(ENG_S1_BASE!$Q$2:$Q$42,$A9+1),IF('2. Results'!$C$35="Both claim at 67",INDEX(ENG_S2_BASE!$Q$2:$Q$42,$A9+1),INDEX(ENG_S3_BASE!$Q$2:$Q$42,$A9+1))),IF('2. Results'!$C$35="Both claim at 62",INDEX(ENG_S1_STRESS!$Q$2:$Q$42,$A9+1),IF('2. Results'!$C$35="Both claim at 67",INDEX(ENG_S2_STRESS!$Q$2:$Q$42,$A9+1),INDEX(ENG_S3_STRESS!$Q$2:$Q$42,$A9+1)))))</f>
        <v/>
      </c>
      <c r="J9" s="47">
        <f>IF(Tables!$B$13+$A9&gt;Tables!$B$18,"",IF('3. Year by Year'!$B$3="Smooth",IF('2. Results'!$C$35="Both claim at 62",INDEX(ENG_S1_BASE!$BV$2:$BV$42,$A9+1),IF('2. Results'!$C$35="Both claim at 67",INDEX(ENG_S2_BASE!$BV$2:$BV$42,$A9+1),INDEX(ENG_S3_BASE!$BV$2:$BV$42,$A9+1))),IF('2. Results'!$C$35="Both claim at 62",INDEX(ENG_S1_STRESS!$BV$2:$BV$42,$A9+1),IF('2. Results'!$C$35="Both claim at 67",INDEX(ENG_S2_STRESS!$BV$2:$BV$42,$A9+1),INDEX(ENG_S3_STRESS!$BV$2:$BV$42,$A9+1)))))</f>
        <v/>
      </c>
      <c r="K9" s="47">
        <f>IF(Tables!$B$13+$A9&gt;Tables!$B$18,"",IF('3. Year by Year'!$B$3="Smooth",IF('2. Results'!$C$35="Both claim at 62",INDEX(ENG_S1_BASE!$BR$2:$BR$42,$A9+1),IF('2. Results'!$C$35="Both claim at 67",INDEX(ENG_S2_BASE!$BR$2:$BR$42,$A9+1),INDEX(ENG_S3_BASE!$BR$2:$BR$42,$A9+1))),IF('2. Results'!$C$35="Both claim at 62",INDEX(ENG_S1_STRESS!$BR$2:$BR$42,$A9+1),IF('2. Results'!$C$35="Both claim at 67",INDEX(ENG_S2_STRESS!$BR$2:$BR$42,$A9+1),INDEX(ENG_S3_STRESS!$BR$2:$BR$42,$A9+1)))))</f>
        <v/>
      </c>
      <c r="L9" s="47">
        <f>IF(Tables!$B$13+$A9&gt;Tables!$B$18,"",IF('3. Year by Year'!$B$3="Smooth",IF('2. Results'!$C$35="Both claim at 62",INDEX(ENG_S1_BASE!$BT$2:$BT$42,$A9+1),IF('2. Results'!$C$35="Both claim at 67",INDEX(ENG_S2_BASE!$BT$2:$BT$42,$A9+1),INDEX(ENG_S3_BASE!$BT$2:$BT$42,$A9+1))),IF('2. Results'!$C$35="Both claim at 62",INDEX(ENG_S1_STRESS!$BT$2:$BT$42,$A9+1),IF('2. Results'!$C$35="Both claim at 67",INDEX(ENG_S2_STRESS!$BT$2:$BT$42,$A9+1),INDEX(ENG_S3_STRESS!$BT$2:$BT$42,$A9+1)))))</f>
        <v/>
      </c>
      <c r="M9" s="47">
        <f>IF(Tables!$B$13+$A9&gt;Tables!$B$18,"",IF('3. Year by Year'!$B$3="Smooth",IF('2. Results'!$C$35="Both claim at 62",INDEX(ENG_S1_BASE!$BX$2:$BX$42,$A9+1),IF('2. Results'!$C$35="Both claim at 67",INDEX(ENG_S2_BASE!$BX$2:$BX$42,$A9+1),INDEX(ENG_S3_BASE!$BX$2:$BX$42,$A9+1))),IF('2. Results'!$C$35="Both claim at 62",INDEX(ENG_S1_STRESS!$BX$2:$BX$42,$A9+1),IF('2. Results'!$C$35="Both claim at 67",INDEX(ENG_S2_STRESS!$BX$2:$BX$42,$A9+1),INDEX(ENG_S3_STRESS!$BX$2:$BX$42,$A9+1)))))</f>
        <v/>
      </c>
      <c r="N9" s="47">
        <f>IF(Tables!$B$13+$A9&gt;Tables!$B$18,"",IF('3. Year by Year'!$B$3="Smooth",IF('2. Results'!$C$35="Both claim at 62",INDEX(ENG_S1_BASE!$BY$2:$BY$42,$A9+1),IF('2. Results'!$C$35="Both claim at 67",INDEX(ENG_S2_BASE!$BY$2:$BY$42,$A9+1),INDEX(ENG_S3_BASE!$BY$2:$BY$42,$A9+1))),IF('2. Results'!$C$35="Both claim at 62",INDEX(ENG_S1_STRESS!$BY$2:$BY$42,$A9+1),IF('2. Results'!$C$35="Both claim at 67",INDEX(ENG_S2_STRESS!$BY$2:$BY$42,$A9+1),INDEX(ENG_S3_STRESS!$BY$2:$BY$42,$A9+1)))))</f>
        <v/>
      </c>
      <c r="O9" s="47">
        <f>IF(Tables!$B$13+$A9&gt;Tables!$B$18,"",IF('3. Year by Year'!$B$3="Smooth",IF('2. Results'!$C$35="Both claim at 62",INDEX(ENG_S1_BASE!$BZ$2:$BZ$42,$A9+1),IF('2. Results'!$C$35="Both claim at 67",INDEX(ENG_S2_BASE!$BZ$2:$BZ$42,$A9+1),INDEX(ENG_S3_BASE!$BZ$2:$BZ$42,$A9+1))),IF('2. Results'!$C$35="Both claim at 62",INDEX(ENG_S1_STRESS!$BZ$2:$BZ$42,$A9+1),IF('2. Results'!$C$35="Both claim at 67",INDEX(ENG_S2_STRESS!$BZ$2:$BZ$42,$A9+1),INDEX(ENG_S3_STRESS!$BZ$2:$BZ$42,$A9+1)))))</f>
        <v/>
      </c>
      <c r="P9" s="47">
        <f>IF(Tables!$B$13+$A9&gt;Tables!$B$18,"",IF('3. Year by Year'!$B$3="Smooth",IF('2. Results'!$C$35="Both claim at 62",INDEX(ENG_S1_BASE!$CA$2:$CA$42,$A9+1),IF('2. Results'!$C$35="Both claim at 67",INDEX(ENG_S2_BASE!$CA$2:$CA$42,$A9+1),INDEX(ENG_S3_BASE!$CA$2:$CA$42,$A9+1))),IF('2. Results'!$C$35="Both claim at 62",INDEX(ENG_S1_STRESS!$CA$2:$CA$42,$A9+1),IF('2. Results'!$C$35="Both claim at 67",INDEX(ENG_S2_STRESS!$CA$2:$CA$42,$A9+1),INDEX(ENG_S3_STRESS!$CA$2:$CA$42,$A9+1)))))</f>
        <v/>
      </c>
      <c r="Q9" s="47">
        <f>IF(Tables!$B$13+$A9&gt;Tables!$B$18,"",IF('3. Year by Year'!$B$3="Smooth",IF('2. Results'!$C$35="Both claim at 62",INDEX(ENG_S1_BASE!$CB$2:$CB$42,$A9+1),IF('2. Results'!$C$35="Both claim at 67",INDEX(ENG_S2_BASE!$CB$2:$CB$42,$A9+1),INDEX(ENG_S3_BASE!$CB$2:$CB$42,$A9+1))),IF('2. Results'!$C$35="Both claim at 62",INDEX(ENG_S1_STRESS!$CB$2:$CB$42,$A9+1),IF('2. Results'!$C$35="Both claim at 67",INDEX(ENG_S2_STRESS!$CB$2:$CB$42,$A9+1),INDEX(ENG_S3_STRESS!$CB$2:$CB$42,$A9+1)))))</f>
        <v/>
      </c>
      <c r="R9" s="47">
        <f>IF(Tables!$B$13+$A9&gt;Tables!$B$18,"",IF('3. Year by Year'!$B$3="Smooth",IF('2. Results'!$C$35="Both claim at 62",INDEX(ENG_S1_BASE!$CC$2:$CC$42,$A9+1),IF('2. Results'!$C$35="Both claim at 67",INDEX(ENG_S2_BASE!$CC$2:$CC$42,$A9+1),INDEX(ENG_S3_BASE!$CC$2:$CC$42,$A9+1))),IF('2. Results'!$C$35="Both claim at 62",INDEX(ENG_S1_STRESS!$CC$2:$CC$42,$A9+1),IF('2. Results'!$C$35="Both claim at 67",INDEX(ENG_S2_STRESS!$CC$2:$CC$42,$A9+1),INDEX(ENG_S3_STRESS!$CC$2:$CC$42,$A9+1)))))</f>
        <v/>
      </c>
    </row>
    <row r="10">
      <c r="A10" s="43" t="n">
        <v>4</v>
      </c>
      <c r="B10" s="51">
        <f>IF(Tables!$B$13+$A10&gt;Tables!$B$18,"",Tables!$B$14+$A10)</f>
        <v/>
      </c>
      <c r="C10" s="51">
        <f>IF(Tables!$B$13+$A10&gt;Tables!$B$18,"",Tables!$B$13+$A10)</f>
        <v/>
      </c>
      <c r="D10" s="55">
        <f>IF(Tables!$B$13+$A10&gt;Tables!$B$18,"",IF('3. Year by Year'!$B$3="Smooth",IF('2. Results'!$C$35="Both claim at 62",INDEX(ENG_S1_BASE!$D$2:$D$42,$A10+1),IF('2. Results'!$C$35="Both claim at 67",INDEX(ENG_S2_BASE!$D$2:$D$42,$A10+1),INDEX(ENG_S3_BASE!$D$2:$D$42,$A10+1))),IF('2. Results'!$C$35="Both claim at 62",INDEX(ENG_S1_STRESS!$D$2:$D$42,$A10+1),IF('2. Results'!$C$35="Both claim at 67",INDEX(ENG_S2_STRESS!$D$2:$D$42,$A10+1),INDEX(ENG_S3_STRESS!$D$2:$D$42,$A10+1)))))</f>
        <v/>
      </c>
      <c r="E10" s="50">
        <f>IF(Tables!$B$13+$A10&gt;Tables!$B$18,"",IF('3. Year by Year'!$B$3="Smooth",IF('2. Results'!$C$35="Both claim at 62",INDEX(ENG_S1_BASE!$G$2:$G$42,$A10+1),IF('2. Results'!$C$35="Both claim at 67",INDEX(ENG_S2_BASE!$G$2:$G$42,$A10+1),INDEX(ENG_S3_BASE!$G$2:$G$42,$A10+1))),IF('2. Results'!$C$35="Both claim at 62",INDEX(ENG_S1_STRESS!$G$2:$G$42,$A10+1),IF('2. Results'!$C$35="Both claim at 67",INDEX(ENG_S2_STRESS!$G$2:$G$42,$A10+1),INDEX(ENG_S3_STRESS!$G$2:$G$42,$A10+1)))))</f>
        <v/>
      </c>
      <c r="F10" s="50">
        <f>IF(Tables!$B$13+$A10&gt;Tables!$B$18,"",IF('3. Year by Year'!$B$3="Smooth",IF('2. Results'!$C$35="Both claim at 62",INDEX(ENG_S1_BASE!$H$2:$H$42,$A10+1),IF('2. Results'!$C$35="Both claim at 67",INDEX(ENG_S2_BASE!$H$2:$H$42,$A10+1),INDEX(ENG_S3_BASE!$H$2:$H$42,$A10+1))),IF('2. Results'!$C$35="Both claim at 62",INDEX(ENG_S1_STRESS!$H$2:$H$42,$A10+1),IF('2. Results'!$C$35="Both claim at 67",INDEX(ENG_S2_STRESS!$H$2:$H$42,$A10+1),INDEX(ENG_S3_STRESS!$H$2:$H$42,$A10+1)))))</f>
        <v/>
      </c>
      <c r="G10" s="50">
        <f>IF(Tables!$B$13+$A10&gt;Tables!$B$18,"",IF('3. Year by Year'!$B$3="Smooth",IF('2. Results'!$C$35="Both claim at 62",INDEX(ENG_S1_BASE!$L$2:$L$42,$A10+1),IF('2. Results'!$C$35="Both claim at 67",INDEX(ENG_S2_BASE!$L$2:$L$42,$A10+1),INDEX(ENG_S3_BASE!$L$2:$L$42,$A10+1))),IF('2. Results'!$C$35="Both claim at 62",INDEX(ENG_S1_STRESS!$L$2:$L$42,$A10+1),IF('2. Results'!$C$35="Both claim at 67",INDEX(ENG_S2_STRESS!$L$2:$L$42,$A10+1),INDEX(ENG_S3_STRESS!$L$2:$L$42,$A10+1)))))</f>
        <v/>
      </c>
      <c r="H10" s="50">
        <f>IF(Tables!$B$13+$A10&gt;Tables!$B$18,"",IF('3. Year by Year'!$B$3="Smooth",IF('2. Results'!$C$35="Both claim at 62",INDEX(ENG_S1_BASE!$BQ$2:$BQ$42,$A10+1),IF('2. Results'!$C$35="Both claim at 67",INDEX(ENG_S2_BASE!$BQ$2:$BQ$42,$A10+1),INDEX(ENG_S3_BASE!$BQ$2:$BQ$42,$A10+1))),IF('2. Results'!$C$35="Both claim at 62",INDEX(ENG_S1_STRESS!$BQ$2:$BQ$42,$A10+1),IF('2. Results'!$C$35="Both claim at 67",INDEX(ENG_S2_STRESS!$BQ$2:$BQ$42,$A10+1),INDEX(ENG_S3_STRESS!$BQ$2:$BQ$42,$A10+1)))))</f>
        <v/>
      </c>
      <c r="I10" s="50">
        <f>IF(Tables!$B$13+$A10&gt;Tables!$B$18,"",IF('3. Year by Year'!$B$3="Smooth",IF('2. Results'!$C$35="Both claim at 62",INDEX(ENG_S1_BASE!$Q$2:$Q$42,$A10+1),IF('2. Results'!$C$35="Both claim at 67",INDEX(ENG_S2_BASE!$Q$2:$Q$42,$A10+1),INDEX(ENG_S3_BASE!$Q$2:$Q$42,$A10+1))),IF('2. Results'!$C$35="Both claim at 62",INDEX(ENG_S1_STRESS!$Q$2:$Q$42,$A10+1),IF('2. Results'!$C$35="Both claim at 67",INDEX(ENG_S2_STRESS!$Q$2:$Q$42,$A10+1),INDEX(ENG_S3_STRESS!$Q$2:$Q$42,$A10+1)))))</f>
        <v/>
      </c>
      <c r="J10" s="50">
        <f>IF(Tables!$B$13+$A10&gt;Tables!$B$18,"",IF('3. Year by Year'!$B$3="Smooth",IF('2. Results'!$C$35="Both claim at 62",INDEX(ENG_S1_BASE!$BV$2:$BV$42,$A10+1),IF('2. Results'!$C$35="Both claim at 67",INDEX(ENG_S2_BASE!$BV$2:$BV$42,$A10+1),INDEX(ENG_S3_BASE!$BV$2:$BV$42,$A10+1))),IF('2. Results'!$C$35="Both claim at 62",INDEX(ENG_S1_STRESS!$BV$2:$BV$42,$A10+1),IF('2. Results'!$C$35="Both claim at 67",INDEX(ENG_S2_STRESS!$BV$2:$BV$42,$A10+1),INDEX(ENG_S3_STRESS!$BV$2:$BV$42,$A10+1)))))</f>
        <v/>
      </c>
      <c r="K10" s="50">
        <f>IF(Tables!$B$13+$A10&gt;Tables!$B$18,"",IF('3. Year by Year'!$B$3="Smooth",IF('2. Results'!$C$35="Both claim at 62",INDEX(ENG_S1_BASE!$BR$2:$BR$42,$A10+1),IF('2. Results'!$C$35="Both claim at 67",INDEX(ENG_S2_BASE!$BR$2:$BR$42,$A10+1),INDEX(ENG_S3_BASE!$BR$2:$BR$42,$A10+1))),IF('2. Results'!$C$35="Both claim at 62",INDEX(ENG_S1_STRESS!$BR$2:$BR$42,$A10+1),IF('2. Results'!$C$35="Both claim at 67",INDEX(ENG_S2_STRESS!$BR$2:$BR$42,$A10+1),INDEX(ENG_S3_STRESS!$BR$2:$BR$42,$A10+1)))))</f>
        <v/>
      </c>
      <c r="L10" s="50">
        <f>IF(Tables!$B$13+$A10&gt;Tables!$B$18,"",IF('3. Year by Year'!$B$3="Smooth",IF('2. Results'!$C$35="Both claim at 62",INDEX(ENG_S1_BASE!$BT$2:$BT$42,$A10+1),IF('2. Results'!$C$35="Both claim at 67",INDEX(ENG_S2_BASE!$BT$2:$BT$42,$A10+1),INDEX(ENG_S3_BASE!$BT$2:$BT$42,$A10+1))),IF('2. Results'!$C$35="Both claim at 62",INDEX(ENG_S1_STRESS!$BT$2:$BT$42,$A10+1),IF('2. Results'!$C$35="Both claim at 67",INDEX(ENG_S2_STRESS!$BT$2:$BT$42,$A10+1),INDEX(ENG_S3_STRESS!$BT$2:$BT$42,$A10+1)))))</f>
        <v/>
      </c>
      <c r="M10" s="50">
        <f>IF(Tables!$B$13+$A10&gt;Tables!$B$18,"",IF('3. Year by Year'!$B$3="Smooth",IF('2. Results'!$C$35="Both claim at 62",INDEX(ENG_S1_BASE!$BX$2:$BX$42,$A10+1),IF('2. Results'!$C$35="Both claim at 67",INDEX(ENG_S2_BASE!$BX$2:$BX$42,$A10+1),INDEX(ENG_S3_BASE!$BX$2:$BX$42,$A10+1))),IF('2. Results'!$C$35="Both claim at 62",INDEX(ENG_S1_STRESS!$BX$2:$BX$42,$A10+1),IF('2. Results'!$C$35="Both claim at 67",INDEX(ENG_S2_STRESS!$BX$2:$BX$42,$A10+1),INDEX(ENG_S3_STRESS!$BX$2:$BX$42,$A10+1)))))</f>
        <v/>
      </c>
      <c r="N10" s="50">
        <f>IF(Tables!$B$13+$A10&gt;Tables!$B$18,"",IF('3. Year by Year'!$B$3="Smooth",IF('2. Results'!$C$35="Both claim at 62",INDEX(ENG_S1_BASE!$BY$2:$BY$42,$A10+1),IF('2. Results'!$C$35="Both claim at 67",INDEX(ENG_S2_BASE!$BY$2:$BY$42,$A10+1),INDEX(ENG_S3_BASE!$BY$2:$BY$42,$A10+1))),IF('2. Results'!$C$35="Both claim at 62",INDEX(ENG_S1_STRESS!$BY$2:$BY$42,$A10+1),IF('2. Results'!$C$35="Both claim at 67",INDEX(ENG_S2_STRESS!$BY$2:$BY$42,$A10+1),INDEX(ENG_S3_STRESS!$BY$2:$BY$42,$A10+1)))))</f>
        <v/>
      </c>
      <c r="O10" s="50">
        <f>IF(Tables!$B$13+$A10&gt;Tables!$B$18,"",IF('3. Year by Year'!$B$3="Smooth",IF('2. Results'!$C$35="Both claim at 62",INDEX(ENG_S1_BASE!$BZ$2:$BZ$42,$A10+1),IF('2. Results'!$C$35="Both claim at 67",INDEX(ENG_S2_BASE!$BZ$2:$BZ$42,$A10+1),INDEX(ENG_S3_BASE!$BZ$2:$BZ$42,$A10+1))),IF('2. Results'!$C$35="Both claim at 62",INDEX(ENG_S1_STRESS!$BZ$2:$BZ$42,$A10+1),IF('2. Results'!$C$35="Both claim at 67",INDEX(ENG_S2_STRESS!$BZ$2:$BZ$42,$A10+1),INDEX(ENG_S3_STRESS!$BZ$2:$BZ$42,$A10+1)))))</f>
        <v/>
      </c>
      <c r="P10" s="50">
        <f>IF(Tables!$B$13+$A10&gt;Tables!$B$18,"",IF('3. Year by Year'!$B$3="Smooth",IF('2. Results'!$C$35="Both claim at 62",INDEX(ENG_S1_BASE!$CA$2:$CA$42,$A10+1),IF('2. Results'!$C$35="Both claim at 67",INDEX(ENG_S2_BASE!$CA$2:$CA$42,$A10+1),INDEX(ENG_S3_BASE!$CA$2:$CA$42,$A10+1))),IF('2. Results'!$C$35="Both claim at 62",INDEX(ENG_S1_STRESS!$CA$2:$CA$42,$A10+1),IF('2. Results'!$C$35="Both claim at 67",INDEX(ENG_S2_STRESS!$CA$2:$CA$42,$A10+1),INDEX(ENG_S3_STRESS!$CA$2:$CA$42,$A10+1)))))</f>
        <v/>
      </c>
      <c r="Q10" s="50">
        <f>IF(Tables!$B$13+$A10&gt;Tables!$B$18,"",IF('3. Year by Year'!$B$3="Smooth",IF('2. Results'!$C$35="Both claim at 62",INDEX(ENG_S1_BASE!$CB$2:$CB$42,$A10+1),IF('2. Results'!$C$35="Both claim at 67",INDEX(ENG_S2_BASE!$CB$2:$CB$42,$A10+1),INDEX(ENG_S3_BASE!$CB$2:$CB$42,$A10+1))),IF('2. Results'!$C$35="Both claim at 62",INDEX(ENG_S1_STRESS!$CB$2:$CB$42,$A10+1),IF('2. Results'!$C$35="Both claim at 67",INDEX(ENG_S2_STRESS!$CB$2:$CB$42,$A10+1),INDEX(ENG_S3_STRESS!$CB$2:$CB$42,$A10+1)))))</f>
        <v/>
      </c>
      <c r="R10" s="50">
        <f>IF(Tables!$B$13+$A10&gt;Tables!$B$18,"",IF('3. Year by Year'!$B$3="Smooth",IF('2. Results'!$C$35="Both claim at 62",INDEX(ENG_S1_BASE!$CC$2:$CC$42,$A10+1),IF('2. Results'!$C$35="Both claim at 67",INDEX(ENG_S2_BASE!$CC$2:$CC$42,$A10+1),INDEX(ENG_S3_BASE!$CC$2:$CC$42,$A10+1))),IF('2. Results'!$C$35="Both claim at 62",INDEX(ENG_S1_STRESS!$CC$2:$CC$42,$A10+1),IF('2. Results'!$C$35="Both claim at 67",INDEX(ENG_S2_STRESS!$CC$2:$CC$42,$A10+1),INDEX(ENG_S3_STRESS!$CC$2:$CC$42,$A10+1)))))</f>
        <v/>
      </c>
    </row>
    <row r="11">
      <c r="A11" s="43" t="n">
        <v>5</v>
      </c>
      <c r="B11" s="48">
        <f>IF(Tables!$B$13+$A11&gt;Tables!$B$18,"",Tables!$B$14+$A11)</f>
        <v/>
      </c>
      <c r="C11" s="48">
        <f>IF(Tables!$B$13+$A11&gt;Tables!$B$18,"",Tables!$B$13+$A11)</f>
        <v/>
      </c>
      <c r="D11" s="56">
        <f>IF(Tables!$B$13+$A11&gt;Tables!$B$18,"",IF('3. Year by Year'!$B$3="Smooth",IF('2. Results'!$C$35="Both claim at 62",INDEX(ENG_S1_BASE!$D$2:$D$42,$A11+1),IF('2. Results'!$C$35="Both claim at 67",INDEX(ENG_S2_BASE!$D$2:$D$42,$A11+1),INDEX(ENG_S3_BASE!$D$2:$D$42,$A11+1))),IF('2. Results'!$C$35="Both claim at 62",INDEX(ENG_S1_STRESS!$D$2:$D$42,$A11+1),IF('2. Results'!$C$35="Both claim at 67",INDEX(ENG_S2_STRESS!$D$2:$D$42,$A11+1),INDEX(ENG_S3_STRESS!$D$2:$D$42,$A11+1)))))</f>
        <v/>
      </c>
      <c r="E11" s="47">
        <f>IF(Tables!$B$13+$A11&gt;Tables!$B$18,"",IF('3. Year by Year'!$B$3="Smooth",IF('2. Results'!$C$35="Both claim at 62",INDEX(ENG_S1_BASE!$G$2:$G$42,$A11+1),IF('2. Results'!$C$35="Both claim at 67",INDEX(ENG_S2_BASE!$G$2:$G$42,$A11+1),INDEX(ENG_S3_BASE!$G$2:$G$42,$A11+1))),IF('2. Results'!$C$35="Both claim at 62",INDEX(ENG_S1_STRESS!$G$2:$G$42,$A11+1),IF('2. Results'!$C$35="Both claim at 67",INDEX(ENG_S2_STRESS!$G$2:$G$42,$A11+1),INDEX(ENG_S3_STRESS!$G$2:$G$42,$A11+1)))))</f>
        <v/>
      </c>
      <c r="F11" s="47">
        <f>IF(Tables!$B$13+$A11&gt;Tables!$B$18,"",IF('3. Year by Year'!$B$3="Smooth",IF('2. Results'!$C$35="Both claim at 62",INDEX(ENG_S1_BASE!$H$2:$H$42,$A11+1),IF('2. Results'!$C$35="Both claim at 67",INDEX(ENG_S2_BASE!$H$2:$H$42,$A11+1),INDEX(ENG_S3_BASE!$H$2:$H$42,$A11+1))),IF('2. Results'!$C$35="Both claim at 62",INDEX(ENG_S1_STRESS!$H$2:$H$42,$A11+1),IF('2. Results'!$C$35="Both claim at 67",INDEX(ENG_S2_STRESS!$H$2:$H$42,$A11+1),INDEX(ENG_S3_STRESS!$H$2:$H$42,$A11+1)))))</f>
        <v/>
      </c>
      <c r="G11" s="47">
        <f>IF(Tables!$B$13+$A11&gt;Tables!$B$18,"",IF('3. Year by Year'!$B$3="Smooth",IF('2. Results'!$C$35="Both claim at 62",INDEX(ENG_S1_BASE!$L$2:$L$42,$A11+1),IF('2. Results'!$C$35="Both claim at 67",INDEX(ENG_S2_BASE!$L$2:$L$42,$A11+1),INDEX(ENG_S3_BASE!$L$2:$L$42,$A11+1))),IF('2. Results'!$C$35="Both claim at 62",INDEX(ENG_S1_STRESS!$L$2:$L$42,$A11+1),IF('2. Results'!$C$35="Both claim at 67",INDEX(ENG_S2_STRESS!$L$2:$L$42,$A11+1),INDEX(ENG_S3_STRESS!$L$2:$L$42,$A11+1)))))</f>
        <v/>
      </c>
      <c r="H11" s="47">
        <f>IF(Tables!$B$13+$A11&gt;Tables!$B$18,"",IF('3. Year by Year'!$B$3="Smooth",IF('2. Results'!$C$35="Both claim at 62",INDEX(ENG_S1_BASE!$BQ$2:$BQ$42,$A11+1),IF('2. Results'!$C$35="Both claim at 67",INDEX(ENG_S2_BASE!$BQ$2:$BQ$42,$A11+1),INDEX(ENG_S3_BASE!$BQ$2:$BQ$42,$A11+1))),IF('2. Results'!$C$35="Both claim at 62",INDEX(ENG_S1_STRESS!$BQ$2:$BQ$42,$A11+1),IF('2. Results'!$C$35="Both claim at 67",INDEX(ENG_S2_STRESS!$BQ$2:$BQ$42,$A11+1),INDEX(ENG_S3_STRESS!$BQ$2:$BQ$42,$A11+1)))))</f>
        <v/>
      </c>
      <c r="I11" s="47">
        <f>IF(Tables!$B$13+$A11&gt;Tables!$B$18,"",IF('3. Year by Year'!$B$3="Smooth",IF('2. Results'!$C$35="Both claim at 62",INDEX(ENG_S1_BASE!$Q$2:$Q$42,$A11+1),IF('2. Results'!$C$35="Both claim at 67",INDEX(ENG_S2_BASE!$Q$2:$Q$42,$A11+1),INDEX(ENG_S3_BASE!$Q$2:$Q$42,$A11+1))),IF('2. Results'!$C$35="Both claim at 62",INDEX(ENG_S1_STRESS!$Q$2:$Q$42,$A11+1),IF('2. Results'!$C$35="Both claim at 67",INDEX(ENG_S2_STRESS!$Q$2:$Q$42,$A11+1),INDEX(ENG_S3_STRESS!$Q$2:$Q$42,$A11+1)))))</f>
        <v/>
      </c>
      <c r="J11" s="47">
        <f>IF(Tables!$B$13+$A11&gt;Tables!$B$18,"",IF('3. Year by Year'!$B$3="Smooth",IF('2. Results'!$C$35="Both claim at 62",INDEX(ENG_S1_BASE!$BV$2:$BV$42,$A11+1),IF('2. Results'!$C$35="Both claim at 67",INDEX(ENG_S2_BASE!$BV$2:$BV$42,$A11+1),INDEX(ENG_S3_BASE!$BV$2:$BV$42,$A11+1))),IF('2. Results'!$C$35="Both claim at 62",INDEX(ENG_S1_STRESS!$BV$2:$BV$42,$A11+1),IF('2. Results'!$C$35="Both claim at 67",INDEX(ENG_S2_STRESS!$BV$2:$BV$42,$A11+1),INDEX(ENG_S3_STRESS!$BV$2:$BV$42,$A11+1)))))</f>
        <v/>
      </c>
      <c r="K11" s="47">
        <f>IF(Tables!$B$13+$A11&gt;Tables!$B$18,"",IF('3. Year by Year'!$B$3="Smooth",IF('2. Results'!$C$35="Both claim at 62",INDEX(ENG_S1_BASE!$BR$2:$BR$42,$A11+1),IF('2. Results'!$C$35="Both claim at 67",INDEX(ENG_S2_BASE!$BR$2:$BR$42,$A11+1),INDEX(ENG_S3_BASE!$BR$2:$BR$42,$A11+1))),IF('2. Results'!$C$35="Both claim at 62",INDEX(ENG_S1_STRESS!$BR$2:$BR$42,$A11+1),IF('2. Results'!$C$35="Both claim at 67",INDEX(ENG_S2_STRESS!$BR$2:$BR$42,$A11+1),INDEX(ENG_S3_STRESS!$BR$2:$BR$42,$A11+1)))))</f>
        <v/>
      </c>
      <c r="L11" s="47">
        <f>IF(Tables!$B$13+$A11&gt;Tables!$B$18,"",IF('3. Year by Year'!$B$3="Smooth",IF('2. Results'!$C$35="Both claim at 62",INDEX(ENG_S1_BASE!$BT$2:$BT$42,$A11+1),IF('2. Results'!$C$35="Both claim at 67",INDEX(ENG_S2_BASE!$BT$2:$BT$42,$A11+1),INDEX(ENG_S3_BASE!$BT$2:$BT$42,$A11+1))),IF('2. Results'!$C$35="Both claim at 62",INDEX(ENG_S1_STRESS!$BT$2:$BT$42,$A11+1),IF('2. Results'!$C$35="Both claim at 67",INDEX(ENG_S2_STRESS!$BT$2:$BT$42,$A11+1),INDEX(ENG_S3_STRESS!$BT$2:$BT$42,$A11+1)))))</f>
        <v/>
      </c>
      <c r="M11" s="47">
        <f>IF(Tables!$B$13+$A11&gt;Tables!$B$18,"",IF('3. Year by Year'!$B$3="Smooth",IF('2. Results'!$C$35="Both claim at 62",INDEX(ENG_S1_BASE!$BX$2:$BX$42,$A11+1),IF('2. Results'!$C$35="Both claim at 67",INDEX(ENG_S2_BASE!$BX$2:$BX$42,$A11+1),INDEX(ENG_S3_BASE!$BX$2:$BX$42,$A11+1))),IF('2. Results'!$C$35="Both claim at 62",INDEX(ENG_S1_STRESS!$BX$2:$BX$42,$A11+1),IF('2. Results'!$C$35="Both claim at 67",INDEX(ENG_S2_STRESS!$BX$2:$BX$42,$A11+1),INDEX(ENG_S3_STRESS!$BX$2:$BX$42,$A11+1)))))</f>
        <v/>
      </c>
      <c r="N11" s="47">
        <f>IF(Tables!$B$13+$A11&gt;Tables!$B$18,"",IF('3. Year by Year'!$B$3="Smooth",IF('2. Results'!$C$35="Both claim at 62",INDEX(ENG_S1_BASE!$BY$2:$BY$42,$A11+1),IF('2. Results'!$C$35="Both claim at 67",INDEX(ENG_S2_BASE!$BY$2:$BY$42,$A11+1),INDEX(ENG_S3_BASE!$BY$2:$BY$42,$A11+1))),IF('2. Results'!$C$35="Both claim at 62",INDEX(ENG_S1_STRESS!$BY$2:$BY$42,$A11+1),IF('2. Results'!$C$35="Both claim at 67",INDEX(ENG_S2_STRESS!$BY$2:$BY$42,$A11+1),INDEX(ENG_S3_STRESS!$BY$2:$BY$42,$A11+1)))))</f>
        <v/>
      </c>
      <c r="O11" s="47">
        <f>IF(Tables!$B$13+$A11&gt;Tables!$B$18,"",IF('3. Year by Year'!$B$3="Smooth",IF('2. Results'!$C$35="Both claim at 62",INDEX(ENG_S1_BASE!$BZ$2:$BZ$42,$A11+1),IF('2. Results'!$C$35="Both claim at 67",INDEX(ENG_S2_BASE!$BZ$2:$BZ$42,$A11+1),INDEX(ENG_S3_BASE!$BZ$2:$BZ$42,$A11+1))),IF('2. Results'!$C$35="Both claim at 62",INDEX(ENG_S1_STRESS!$BZ$2:$BZ$42,$A11+1),IF('2. Results'!$C$35="Both claim at 67",INDEX(ENG_S2_STRESS!$BZ$2:$BZ$42,$A11+1),INDEX(ENG_S3_STRESS!$BZ$2:$BZ$42,$A11+1)))))</f>
        <v/>
      </c>
      <c r="P11" s="47">
        <f>IF(Tables!$B$13+$A11&gt;Tables!$B$18,"",IF('3. Year by Year'!$B$3="Smooth",IF('2. Results'!$C$35="Both claim at 62",INDEX(ENG_S1_BASE!$CA$2:$CA$42,$A11+1),IF('2. Results'!$C$35="Both claim at 67",INDEX(ENG_S2_BASE!$CA$2:$CA$42,$A11+1),INDEX(ENG_S3_BASE!$CA$2:$CA$42,$A11+1))),IF('2. Results'!$C$35="Both claim at 62",INDEX(ENG_S1_STRESS!$CA$2:$CA$42,$A11+1),IF('2. Results'!$C$35="Both claim at 67",INDEX(ENG_S2_STRESS!$CA$2:$CA$42,$A11+1),INDEX(ENG_S3_STRESS!$CA$2:$CA$42,$A11+1)))))</f>
        <v/>
      </c>
      <c r="Q11" s="47">
        <f>IF(Tables!$B$13+$A11&gt;Tables!$B$18,"",IF('3. Year by Year'!$B$3="Smooth",IF('2. Results'!$C$35="Both claim at 62",INDEX(ENG_S1_BASE!$CB$2:$CB$42,$A11+1),IF('2. Results'!$C$35="Both claim at 67",INDEX(ENG_S2_BASE!$CB$2:$CB$42,$A11+1),INDEX(ENG_S3_BASE!$CB$2:$CB$42,$A11+1))),IF('2. Results'!$C$35="Both claim at 62",INDEX(ENG_S1_STRESS!$CB$2:$CB$42,$A11+1),IF('2. Results'!$C$35="Both claim at 67",INDEX(ENG_S2_STRESS!$CB$2:$CB$42,$A11+1),INDEX(ENG_S3_STRESS!$CB$2:$CB$42,$A11+1)))))</f>
        <v/>
      </c>
      <c r="R11" s="47">
        <f>IF(Tables!$B$13+$A11&gt;Tables!$B$18,"",IF('3. Year by Year'!$B$3="Smooth",IF('2. Results'!$C$35="Both claim at 62",INDEX(ENG_S1_BASE!$CC$2:$CC$42,$A11+1),IF('2. Results'!$C$35="Both claim at 67",INDEX(ENG_S2_BASE!$CC$2:$CC$42,$A11+1),INDEX(ENG_S3_BASE!$CC$2:$CC$42,$A11+1))),IF('2. Results'!$C$35="Both claim at 62",INDEX(ENG_S1_STRESS!$CC$2:$CC$42,$A11+1),IF('2. Results'!$C$35="Both claim at 67",INDEX(ENG_S2_STRESS!$CC$2:$CC$42,$A11+1),INDEX(ENG_S3_STRESS!$CC$2:$CC$42,$A11+1)))))</f>
        <v/>
      </c>
    </row>
    <row r="12">
      <c r="A12" s="43" t="n">
        <v>6</v>
      </c>
      <c r="B12" s="51">
        <f>IF(Tables!$B$13+$A12&gt;Tables!$B$18,"",Tables!$B$14+$A12)</f>
        <v/>
      </c>
      <c r="C12" s="51">
        <f>IF(Tables!$B$13+$A12&gt;Tables!$B$18,"",Tables!$B$13+$A12)</f>
        <v/>
      </c>
      <c r="D12" s="55">
        <f>IF(Tables!$B$13+$A12&gt;Tables!$B$18,"",IF('3. Year by Year'!$B$3="Smooth",IF('2. Results'!$C$35="Both claim at 62",INDEX(ENG_S1_BASE!$D$2:$D$42,$A12+1),IF('2. Results'!$C$35="Both claim at 67",INDEX(ENG_S2_BASE!$D$2:$D$42,$A12+1),INDEX(ENG_S3_BASE!$D$2:$D$42,$A12+1))),IF('2. Results'!$C$35="Both claim at 62",INDEX(ENG_S1_STRESS!$D$2:$D$42,$A12+1),IF('2. Results'!$C$35="Both claim at 67",INDEX(ENG_S2_STRESS!$D$2:$D$42,$A12+1),INDEX(ENG_S3_STRESS!$D$2:$D$42,$A12+1)))))</f>
        <v/>
      </c>
      <c r="E12" s="50">
        <f>IF(Tables!$B$13+$A12&gt;Tables!$B$18,"",IF('3. Year by Year'!$B$3="Smooth",IF('2. Results'!$C$35="Both claim at 62",INDEX(ENG_S1_BASE!$G$2:$G$42,$A12+1),IF('2. Results'!$C$35="Both claim at 67",INDEX(ENG_S2_BASE!$G$2:$G$42,$A12+1),INDEX(ENG_S3_BASE!$G$2:$G$42,$A12+1))),IF('2. Results'!$C$35="Both claim at 62",INDEX(ENG_S1_STRESS!$G$2:$G$42,$A12+1),IF('2. Results'!$C$35="Both claim at 67",INDEX(ENG_S2_STRESS!$G$2:$G$42,$A12+1),INDEX(ENG_S3_STRESS!$G$2:$G$42,$A12+1)))))</f>
        <v/>
      </c>
      <c r="F12" s="50">
        <f>IF(Tables!$B$13+$A12&gt;Tables!$B$18,"",IF('3. Year by Year'!$B$3="Smooth",IF('2. Results'!$C$35="Both claim at 62",INDEX(ENG_S1_BASE!$H$2:$H$42,$A12+1),IF('2. Results'!$C$35="Both claim at 67",INDEX(ENG_S2_BASE!$H$2:$H$42,$A12+1),INDEX(ENG_S3_BASE!$H$2:$H$42,$A12+1))),IF('2. Results'!$C$35="Both claim at 62",INDEX(ENG_S1_STRESS!$H$2:$H$42,$A12+1),IF('2. Results'!$C$35="Both claim at 67",INDEX(ENG_S2_STRESS!$H$2:$H$42,$A12+1),INDEX(ENG_S3_STRESS!$H$2:$H$42,$A12+1)))))</f>
        <v/>
      </c>
      <c r="G12" s="50">
        <f>IF(Tables!$B$13+$A12&gt;Tables!$B$18,"",IF('3. Year by Year'!$B$3="Smooth",IF('2. Results'!$C$35="Both claim at 62",INDEX(ENG_S1_BASE!$L$2:$L$42,$A12+1),IF('2. Results'!$C$35="Both claim at 67",INDEX(ENG_S2_BASE!$L$2:$L$42,$A12+1),INDEX(ENG_S3_BASE!$L$2:$L$42,$A12+1))),IF('2. Results'!$C$35="Both claim at 62",INDEX(ENG_S1_STRESS!$L$2:$L$42,$A12+1),IF('2. Results'!$C$35="Both claim at 67",INDEX(ENG_S2_STRESS!$L$2:$L$42,$A12+1),INDEX(ENG_S3_STRESS!$L$2:$L$42,$A12+1)))))</f>
        <v/>
      </c>
      <c r="H12" s="50">
        <f>IF(Tables!$B$13+$A12&gt;Tables!$B$18,"",IF('3. Year by Year'!$B$3="Smooth",IF('2. Results'!$C$35="Both claim at 62",INDEX(ENG_S1_BASE!$BQ$2:$BQ$42,$A12+1),IF('2. Results'!$C$35="Both claim at 67",INDEX(ENG_S2_BASE!$BQ$2:$BQ$42,$A12+1),INDEX(ENG_S3_BASE!$BQ$2:$BQ$42,$A12+1))),IF('2. Results'!$C$35="Both claim at 62",INDEX(ENG_S1_STRESS!$BQ$2:$BQ$42,$A12+1),IF('2. Results'!$C$35="Both claim at 67",INDEX(ENG_S2_STRESS!$BQ$2:$BQ$42,$A12+1),INDEX(ENG_S3_STRESS!$BQ$2:$BQ$42,$A12+1)))))</f>
        <v/>
      </c>
      <c r="I12" s="50">
        <f>IF(Tables!$B$13+$A12&gt;Tables!$B$18,"",IF('3. Year by Year'!$B$3="Smooth",IF('2. Results'!$C$35="Both claim at 62",INDEX(ENG_S1_BASE!$Q$2:$Q$42,$A12+1),IF('2. Results'!$C$35="Both claim at 67",INDEX(ENG_S2_BASE!$Q$2:$Q$42,$A12+1),INDEX(ENG_S3_BASE!$Q$2:$Q$42,$A12+1))),IF('2. Results'!$C$35="Both claim at 62",INDEX(ENG_S1_STRESS!$Q$2:$Q$42,$A12+1),IF('2. Results'!$C$35="Both claim at 67",INDEX(ENG_S2_STRESS!$Q$2:$Q$42,$A12+1),INDEX(ENG_S3_STRESS!$Q$2:$Q$42,$A12+1)))))</f>
        <v/>
      </c>
      <c r="J12" s="50">
        <f>IF(Tables!$B$13+$A12&gt;Tables!$B$18,"",IF('3. Year by Year'!$B$3="Smooth",IF('2. Results'!$C$35="Both claim at 62",INDEX(ENG_S1_BASE!$BV$2:$BV$42,$A12+1),IF('2. Results'!$C$35="Both claim at 67",INDEX(ENG_S2_BASE!$BV$2:$BV$42,$A12+1),INDEX(ENG_S3_BASE!$BV$2:$BV$42,$A12+1))),IF('2. Results'!$C$35="Both claim at 62",INDEX(ENG_S1_STRESS!$BV$2:$BV$42,$A12+1),IF('2. Results'!$C$35="Both claim at 67",INDEX(ENG_S2_STRESS!$BV$2:$BV$42,$A12+1),INDEX(ENG_S3_STRESS!$BV$2:$BV$42,$A12+1)))))</f>
        <v/>
      </c>
      <c r="K12" s="50">
        <f>IF(Tables!$B$13+$A12&gt;Tables!$B$18,"",IF('3. Year by Year'!$B$3="Smooth",IF('2. Results'!$C$35="Both claim at 62",INDEX(ENG_S1_BASE!$BR$2:$BR$42,$A12+1),IF('2. Results'!$C$35="Both claim at 67",INDEX(ENG_S2_BASE!$BR$2:$BR$42,$A12+1),INDEX(ENG_S3_BASE!$BR$2:$BR$42,$A12+1))),IF('2. Results'!$C$35="Both claim at 62",INDEX(ENG_S1_STRESS!$BR$2:$BR$42,$A12+1),IF('2. Results'!$C$35="Both claim at 67",INDEX(ENG_S2_STRESS!$BR$2:$BR$42,$A12+1),INDEX(ENG_S3_STRESS!$BR$2:$BR$42,$A12+1)))))</f>
        <v/>
      </c>
      <c r="L12" s="50">
        <f>IF(Tables!$B$13+$A12&gt;Tables!$B$18,"",IF('3. Year by Year'!$B$3="Smooth",IF('2. Results'!$C$35="Both claim at 62",INDEX(ENG_S1_BASE!$BT$2:$BT$42,$A12+1),IF('2. Results'!$C$35="Both claim at 67",INDEX(ENG_S2_BASE!$BT$2:$BT$42,$A12+1),INDEX(ENG_S3_BASE!$BT$2:$BT$42,$A12+1))),IF('2. Results'!$C$35="Both claim at 62",INDEX(ENG_S1_STRESS!$BT$2:$BT$42,$A12+1),IF('2. Results'!$C$35="Both claim at 67",INDEX(ENG_S2_STRESS!$BT$2:$BT$42,$A12+1),INDEX(ENG_S3_STRESS!$BT$2:$BT$42,$A12+1)))))</f>
        <v/>
      </c>
      <c r="M12" s="50">
        <f>IF(Tables!$B$13+$A12&gt;Tables!$B$18,"",IF('3. Year by Year'!$B$3="Smooth",IF('2. Results'!$C$35="Both claim at 62",INDEX(ENG_S1_BASE!$BX$2:$BX$42,$A12+1),IF('2. Results'!$C$35="Both claim at 67",INDEX(ENG_S2_BASE!$BX$2:$BX$42,$A12+1),INDEX(ENG_S3_BASE!$BX$2:$BX$42,$A12+1))),IF('2. Results'!$C$35="Both claim at 62",INDEX(ENG_S1_STRESS!$BX$2:$BX$42,$A12+1),IF('2. Results'!$C$35="Both claim at 67",INDEX(ENG_S2_STRESS!$BX$2:$BX$42,$A12+1),INDEX(ENG_S3_STRESS!$BX$2:$BX$42,$A12+1)))))</f>
        <v/>
      </c>
      <c r="N12" s="50">
        <f>IF(Tables!$B$13+$A12&gt;Tables!$B$18,"",IF('3. Year by Year'!$B$3="Smooth",IF('2. Results'!$C$35="Both claim at 62",INDEX(ENG_S1_BASE!$BY$2:$BY$42,$A12+1),IF('2. Results'!$C$35="Both claim at 67",INDEX(ENG_S2_BASE!$BY$2:$BY$42,$A12+1),INDEX(ENG_S3_BASE!$BY$2:$BY$42,$A12+1))),IF('2. Results'!$C$35="Both claim at 62",INDEX(ENG_S1_STRESS!$BY$2:$BY$42,$A12+1),IF('2. Results'!$C$35="Both claim at 67",INDEX(ENG_S2_STRESS!$BY$2:$BY$42,$A12+1),INDEX(ENG_S3_STRESS!$BY$2:$BY$42,$A12+1)))))</f>
        <v/>
      </c>
      <c r="O12" s="50">
        <f>IF(Tables!$B$13+$A12&gt;Tables!$B$18,"",IF('3. Year by Year'!$B$3="Smooth",IF('2. Results'!$C$35="Both claim at 62",INDEX(ENG_S1_BASE!$BZ$2:$BZ$42,$A12+1),IF('2. Results'!$C$35="Both claim at 67",INDEX(ENG_S2_BASE!$BZ$2:$BZ$42,$A12+1),INDEX(ENG_S3_BASE!$BZ$2:$BZ$42,$A12+1))),IF('2. Results'!$C$35="Both claim at 62",INDEX(ENG_S1_STRESS!$BZ$2:$BZ$42,$A12+1),IF('2. Results'!$C$35="Both claim at 67",INDEX(ENG_S2_STRESS!$BZ$2:$BZ$42,$A12+1),INDEX(ENG_S3_STRESS!$BZ$2:$BZ$42,$A12+1)))))</f>
        <v/>
      </c>
      <c r="P12" s="50">
        <f>IF(Tables!$B$13+$A12&gt;Tables!$B$18,"",IF('3. Year by Year'!$B$3="Smooth",IF('2. Results'!$C$35="Both claim at 62",INDEX(ENG_S1_BASE!$CA$2:$CA$42,$A12+1),IF('2. Results'!$C$35="Both claim at 67",INDEX(ENG_S2_BASE!$CA$2:$CA$42,$A12+1),INDEX(ENG_S3_BASE!$CA$2:$CA$42,$A12+1))),IF('2. Results'!$C$35="Both claim at 62",INDEX(ENG_S1_STRESS!$CA$2:$CA$42,$A12+1),IF('2. Results'!$C$35="Both claim at 67",INDEX(ENG_S2_STRESS!$CA$2:$CA$42,$A12+1),INDEX(ENG_S3_STRESS!$CA$2:$CA$42,$A12+1)))))</f>
        <v/>
      </c>
      <c r="Q12" s="50">
        <f>IF(Tables!$B$13+$A12&gt;Tables!$B$18,"",IF('3. Year by Year'!$B$3="Smooth",IF('2. Results'!$C$35="Both claim at 62",INDEX(ENG_S1_BASE!$CB$2:$CB$42,$A12+1),IF('2. Results'!$C$35="Both claim at 67",INDEX(ENG_S2_BASE!$CB$2:$CB$42,$A12+1),INDEX(ENG_S3_BASE!$CB$2:$CB$42,$A12+1))),IF('2. Results'!$C$35="Both claim at 62",INDEX(ENG_S1_STRESS!$CB$2:$CB$42,$A12+1),IF('2. Results'!$C$35="Both claim at 67",INDEX(ENG_S2_STRESS!$CB$2:$CB$42,$A12+1),INDEX(ENG_S3_STRESS!$CB$2:$CB$42,$A12+1)))))</f>
        <v/>
      </c>
      <c r="R12" s="50">
        <f>IF(Tables!$B$13+$A12&gt;Tables!$B$18,"",IF('3. Year by Year'!$B$3="Smooth",IF('2. Results'!$C$35="Both claim at 62",INDEX(ENG_S1_BASE!$CC$2:$CC$42,$A12+1),IF('2. Results'!$C$35="Both claim at 67",INDEX(ENG_S2_BASE!$CC$2:$CC$42,$A12+1),INDEX(ENG_S3_BASE!$CC$2:$CC$42,$A12+1))),IF('2. Results'!$C$35="Both claim at 62",INDEX(ENG_S1_STRESS!$CC$2:$CC$42,$A12+1),IF('2. Results'!$C$35="Both claim at 67",INDEX(ENG_S2_STRESS!$CC$2:$CC$42,$A12+1),INDEX(ENG_S3_STRESS!$CC$2:$CC$42,$A12+1)))))</f>
        <v/>
      </c>
    </row>
    <row r="13">
      <c r="A13" s="43" t="n">
        <v>7</v>
      </c>
      <c r="B13" s="48">
        <f>IF(Tables!$B$13+$A13&gt;Tables!$B$18,"",Tables!$B$14+$A13)</f>
        <v/>
      </c>
      <c r="C13" s="48">
        <f>IF(Tables!$B$13+$A13&gt;Tables!$B$18,"",Tables!$B$13+$A13)</f>
        <v/>
      </c>
      <c r="D13" s="56">
        <f>IF(Tables!$B$13+$A13&gt;Tables!$B$18,"",IF('3. Year by Year'!$B$3="Smooth",IF('2. Results'!$C$35="Both claim at 62",INDEX(ENG_S1_BASE!$D$2:$D$42,$A13+1),IF('2. Results'!$C$35="Both claim at 67",INDEX(ENG_S2_BASE!$D$2:$D$42,$A13+1),INDEX(ENG_S3_BASE!$D$2:$D$42,$A13+1))),IF('2. Results'!$C$35="Both claim at 62",INDEX(ENG_S1_STRESS!$D$2:$D$42,$A13+1),IF('2. Results'!$C$35="Both claim at 67",INDEX(ENG_S2_STRESS!$D$2:$D$42,$A13+1),INDEX(ENG_S3_STRESS!$D$2:$D$42,$A13+1)))))</f>
        <v/>
      </c>
      <c r="E13" s="47">
        <f>IF(Tables!$B$13+$A13&gt;Tables!$B$18,"",IF('3. Year by Year'!$B$3="Smooth",IF('2. Results'!$C$35="Both claim at 62",INDEX(ENG_S1_BASE!$G$2:$G$42,$A13+1),IF('2. Results'!$C$35="Both claim at 67",INDEX(ENG_S2_BASE!$G$2:$G$42,$A13+1),INDEX(ENG_S3_BASE!$G$2:$G$42,$A13+1))),IF('2. Results'!$C$35="Both claim at 62",INDEX(ENG_S1_STRESS!$G$2:$G$42,$A13+1),IF('2. Results'!$C$35="Both claim at 67",INDEX(ENG_S2_STRESS!$G$2:$G$42,$A13+1),INDEX(ENG_S3_STRESS!$G$2:$G$42,$A13+1)))))</f>
        <v/>
      </c>
      <c r="F13" s="47">
        <f>IF(Tables!$B$13+$A13&gt;Tables!$B$18,"",IF('3. Year by Year'!$B$3="Smooth",IF('2. Results'!$C$35="Both claim at 62",INDEX(ENG_S1_BASE!$H$2:$H$42,$A13+1),IF('2. Results'!$C$35="Both claim at 67",INDEX(ENG_S2_BASE!$H$2:$H$42,$A13+1),INDEX(ENG_S3_BASE!$H$2:$H$42,$A13+1))),IF('2. Results'!$C$35="Both claim at 62",INDEX(ENG_S1_STRESS!$H$2:$H$42,$A13+1),IF('2. Results'!$C$35="Both claim at 67",INDEX(ENG_S2_STRESS!$H$2:$H$42,$A13+1),INDEX(ENG_S3_STRESS!$H$2:$H$42,$A13+1)))))</f>
        <v/>
      </c>
      <c r="G13" s="47">
        <f>IF(Tables!$B$13+$A13&gt;Tables!$B$18,"",IF('3. Year by Year'!$B$3="Smooth",IF('2. Results'!$C$35="Both claim at 62",INDEX(ENG_S1_BASE!$L$2:$L$42,$A13+1),IF('2. Results'!$C$35="Both claim at 67",INDEX(ENG_S2_BASE!$L$2:$L$42,$A13+1),INDEX(ENG_S3_BASE!$L$2:$L$42,$A13+1))),IF('2. Results'!$C$35="Both claim at 62",INDEX(ENG_S1_STRESS!$L$2:$L$42,$A13+1),IF('2. Results'!$C$35="Both claim at 67",INDEX(ENG_S2_STRESS!$L$2:$L$42,$A13+1),INDEX(ENG_S3_STRESS!$L$2:$L$42,$A13+1)))))</f>
        <v/>
      </c>
      <c r="H13" s="47">
        <f>IF(Tables!$B$13+$A13&gt;Tables!$B$18,"",IF('3. Year by Year'!$B$3="Smooth",IF('2. Results'!$C$35="Both claim at 62",INDEX(ENG_S1_BASE!$BQ$2:$BQ$42,$A13+1),IF('2. Results'!$C$35="Both claim at 67",INDEX(ENG_S2_BASE!$BQ$2:$BQ$42,$A13+1),INDEX(ENG_S3_BASE!$BQ$2:$BQ$42,$A13+1))),IF('2. Results'!$C$35="Both claim at 62",INDEX(ENG_S1_STRESS!$BQ$2:$BQ$42,$A13+1),IF('2. Results'!$C$35="Both claim at 67",INDEX(ENG_S2_STRESS!$BQ$2:$BQ$42,$A13+1),INDEX(ENG_S3_STRESS!$BQ$2:$BQ$42,$A13+1)))))</f>
        <v/>
      </c>
      <c r="I13" s="47">
        <f>IF(Tables!$B$13+$A13&gt;Tables!$B$18,"",IF('3. Year by Year'!$B$3="Smooth",IF('2. Results'!$C$35="Both claim at 62",INDEX(ENG_S1_BASE!$Q$2:$Q$42,$A13+1),IF('2. Results'!$C$35="Both claim at 67",INDEX(ENG_S2_BASE!$Q$2:$Q$42,$A13+1),INDEX(ENG_S3_BASE!$Q$2:$Q$42,$A13+1))),IF('2. Results'!$C$35="Both claim at 62",INDEX(ENG_S1_STRESS!$Q$2:$Q$42,$A13+1),IF('2. Results'!$C$35="Both claim at 67",INDEX(ENG_S2_STRESS!$Q$2:$Q$42,$A13+1),INDEX(ENG_S3_STRESS!$Q$2:$Q$42,$A13+1)))))</f>
        <v/>
      </c>
      <c r="J13" s="47">
        <f>IF(Tables!$B$13+$A13&gt;Tables!$B$18,"",IF('3. Year by Year'!$B$3="Smooth",IF('2. Results'!$C$35="Both claim at 62",INDEX(ENG_S1_BASE!$BV$2:$BV$42,$A13+1),IF('2. Results'!$C$35="Both claim at 67",INDEX(ENG_S2_BASE!$BV$2:$BV$42,$A13+1),INDEX(ENG_S3_BASE!$BV$2:$BV$42,$A13+1))),IF('2. Results'!$C$35="Both claim at 62",INDEX(ENG_S1_STRESS!$BV$2:$BV$42,$A13+1),IF('2. Results'!$C$35="Both claim at 67",INDEX(ENG_S2_STRESS!$BV$2:$BV$42,$A13+1),INDEX(ENG_S3_STRESS!$BV$2:$BV$42,$A13+1)))))</f>
        <v/>
      </c>
      <c r="K13" s="47">
        <f>IF(Tables!$B$13+$A13&gt;Tables!$B$18,"",IF('3. Year by Year'!$B$3="Smooth",IF('2. Results'!$C$35="Both claim at 62",INDEX(ENG_S1_BASE!$BR$2:$BR$42,$A13+1),IF('2. Results'!$C$35="Both claim at 67",INDEX(ENG_S2_BASE!$BR$2:$BR$42,$A13+1),INDEX(ENG_S3_BASE!$BR$2:$BR$42,$A13+1))),IF('2. Results'!$C$35="Both claim at 62",INDEX(ENG_S1_STRESS!$BR$2:$BR$42,$A13+1),IF('2. Results'!$C$35="Both claim at 67",INDEX(ENG_S2_STRESS!$BR$2:$BR$42,$A13+1),INDEX(ENG_S3_STRESS!$BR$2:$BR$42,$A13+1)))))</f>
        <v/>
      </c>
      <c r="L13" s="47">
        <f>IF(Tables!$B$13+$A13&gt;Tables!$B$18,"",IF('3. Year by Year'!$B$3="Smooth",IF('2. Results'!$C$35="Both claim at 62",INDEX(ENG_S1_BASE!$BT$2:$BT$42,$A13+1),IF('2. Results'!$C$35="Both claim at 67",INDEX(ENG_S2_BASE!$BT$2:$BT$42,$A13+1),INDEX(ENG_S3_BASE!$BT$2:$BT$42,$A13+1))),IF('2. Results'!$C$35="Both claim at 62",INDEX(ENG_S1_STRESS!$BT$2:$BT$42,$A13+1),IF('2. Results'!$C$35="Both claim at 67",INDEX(ENG_S2_STRESS!$BT$2:$BT$42,$A13+1),INDEX(ENG_S3_STRESS!$BT$2:$BT$42,$A13+1)))))</f>
        <v/>
      </c>
      <c r="M13" s="47">
        <f>IF(Tables!$B$13+$A13&gt;Tables!$B$18,"",IF('3. Year by Year'!$B$3="Smooth",IF('2. Results'!$C$35="Both claim at 62",INDEX(ENG_S1_BASE!$BX$2:$BX$42,$A13+1),IF('2. Results'!$C$35="Both claim at 67",INDEX(ENG_S2_BASE!$BX$2:$BX$42,$A13+1),INDEX(ENG_S3_BASE!$BX$2:$BX$42,$A13+1))),IF('2. Results'!$C$35="Both claim at 62",INDEX(ENG_S1_STRESS!$BX$2:$BX$42,$A13+1),IF('2. Results'!$C$35="Both claim at 67",INDEX(ENG_S2_STRESS!$BX$2:$BX$42,$A13+1),INDEX(ENG_S3_STRESS!$BX$2:$BX$42,$A13+1)))))</f>
        <v/>
      </c>
      <c r="N13" s="47">
        <f>IF(Tables!$B$13+$A13&gt;Tables!$B$18,"",IF('3. Year by Year'!$B$3="Smooth",IF('2. Results'!$C$35="Both claim at 62",INDEX(ENG_S1_BASE!$BY$2:$BY$42,$A13+1),IF('2. Results'!$C$35="Both claim at 67",INDEX(ENG_S2_BASE!$BY$2:$BY$42,$A13+1),INDEX(ENG_S3_BASE!$BY$2:$BY$42,$A13+1))),IF('2. Results'!$C$35="Both claim at 62",INDEX(ENG_S1_STRESS!$BY$2:$BY$42,$A13+1),IF('2. Results'!$C$35="Both claim at 67",INDEX(ENG_S2_STRESS!$BY$2:$BY$42,$A13+1),INDEX(ENG_S3_STRESS!$BY$2:$BY$42,$A13+1)))))</f>
        <v/>
      </c>
      <c r="O13" s="47">
        <f>IF(Tables!$B$13+$A13&gt;Tables!$B$18,"",IF('3. Year by Year'!$B$3="Smooth",IF('2. Results'!$C$35="Both claim at 62",INDEX(ENG_S1_BASE!$BZ$2:$BZ$42,$A13+1),IF('2. Results'!$C$35="Both claim at 67",INDEX(ENG_S2_BASE!$BZ$2:$BZ$42,$A13+1),INDEX(ENG_S3_BASE!$BZ$2:$BZ$42,$A13+1))),IF('2. Results'!$C$35="Both claim at 62",INDEX(ENG_S1_STRESS!$BZ$2:$BZ$42,$A13+1),IF('2. Results'!$C$35="Both claim at 67",INDEX(ENG_S2_STRESS!$BZ$2:$BZ$42,$A13+1),INDEX(ENG_S3_STRESS!$BZ$2:$BZ$42,$A13+1)))))</f>
        <v/>
      </c>
      <c r="P13" s="47">
        <f>IF(Tables!$B$13+$A13&gt;Tables!$B$18,"",IF('3. Year by Year'!$B$3="Smooth",IF('2. Results'!$C$35="Both claim at 62",INDEX(ENG_S1_BASE!$CA$2:$CA$42,$A13+1),IF('2. Results'!$C$35="Both claim at 67",INDEX(ENG_S2_BASE!$CA$2:$CA$42,$A13+1),INDEX(ENG_S3_BASE!$CA$2:$CA$42,$A13+1))),IF('2. Results'!$C$35="Both claim at 62",INDEX(ENG_S1_STRESS!$CA$2:$CA$42,$A13+1),IF('2. Results'!$C$35="Both claim at 67",INDEX(ENG_S2_STRESS!$CA$2:$CA$42,$A13+1),INDEX(ENG_S3_STRESS!$CA$2:$CA$42,$A13+1)))))</f>
        <v/>
      </c>
      <c r="Q13" s="47">
        <f>IF(Tables!$B$13+$A13&gt;Tables!$B$18,"",IF('3. Year by Year'!$B$3="Smooth",IF('2. Results'!$C$35="Both claim at 62",INDEX(ENG_S1_BASE!$CB$2:$CB$42,$A13+1),IF('2. Results'!$C$35="Both claim at 67",INDEX(ENG_S2_BASE!$CB$2:$CB$42,$A13+1),INDEX(ENG_S3_BASE!$CB$2:$CB$42,$A13+1))),IF('2. Results'!$C$35="Both claim at 62",INDEX(ENG_S1_STRESS!$CB$2:$CB$42,$A13+1),IF('2. Results'!$C$35="Both claim at 67",INDEX(ENG_S2_STRESS!$CB$2:$CB$42,$A13+1),INDEX(ENG_S3_STRESS!$CB$2:$CB$42,$A13+1)))))</f>
        <v/>
      </c>
      <c r="R13" s="47">
        <f>IF(Tables!$B$13+$A13&gt;Tables!$B$18,"",IF('3. Year by Year'!$B$3="Smooth",IF('2. Results'!$C$35="Both claim at 62",INDEX(ENG_S1_BASE!$CC$2:$CC$42,$A13+1),IF('2. Results'!$C$35="Both claim at 67",INDEX(ENG_S2_BASE!$CC$2:$CC$42,$A13+1),INDEX(ENG_S3_BASE!$CC$2:$CC$42,$A13+1))),IF('2. Results'!$C$35="Both claim at 62",INDEX(ENG_S1_STRESS!$CC$2:$CC$42,$A13+1),IF('2. Results'!$C$35="Both claim at 67",INDEX(ENG_S2_STRESS!$CC$2:$CC$42,$A13+1),INDEX(ENG_S3_STRESS!$CC$2:$CC$42,$A13+1)))))</f>
        <v/>
      </c>
    </row>
    <row r="14">
      <c r="A14" s="43" t="n">
        <v>8</v>
      </c>
      <c r="B14" s="51">
        <f>IF(Tables!$B$13+$A14&gt;Tables!$B$18,"",Tables!$B$14+$A14)</f>
        <v/>
      </c>
      <c r="C14" s="51">
        <f>IF(Tables!$B$13+$A14&gt;Tables!$B$18,"",Tables!$B$13+$A14)</f>
        <v/>
      </c>
      <c r="D14" s="55">
        <f>IF(Tables!$B$13+$A14&gt;Tables!$B$18,"",IF('3. Year by Year'!$B$3="Smooth",IF('2. Results'!$C$35="Both claim at 62",INDEX(ENG_S1_BASE!$D$2:$D$42,$A14+1),IF('2. Results'!$C$35="Both claim at 67",INDEX(ENG_S2_BASE!$D$2:$D$42,$A14+1),INDEX(ENG_S3_BASE!$D$2:$D$42,$A14+1))),IF('2. Results'!$C$35="Both claim at 62",INDEX(ENG_S1_STRESS!$D$2:$D$42,$A14+1),IF('2. Results'!$C$35="Both claim at 67",INDEX(ENG_S2_STRESS!$D$2:$D$42,$A14+1),INDEX(ENG_S3_STRESS!$D$2:$D$42,$A14+1)))))</f>
        <v/>
      </c>
      <c r="E14" s="50">
        <f>IF(Tables!$B$13+$A14&gt;Tables!$B$18,"",IF('3. Year by Year'!$B$3="Smooth",IF('2. Results'!$C$35="Both claim at 62",INDEX(ENG_S1_BASE!$G$2:$G$42,$A14+1),IF('2. Results'!$C$35="Both claim at 67",INDEX(ENG_S2_BASE!$G$2:$G$42,$A14+1),INDEX(ENG_S3_BASE!$G$2:$G$42,$A14+1))),IF('2. Results'!$C$35="Both claim at 62",INDEX(ENG_S1_STRESS!$G$2:$G$42,$A14+1),IF('2. Results'!$C$35="Both claim at 67",INDEX(ENG_S2_STRESS!$G$2:$G$42,$A14+1),INDEX(ENG_S3_STRESS!$G$2:$G$42,$A14+1)))))</f>
        <v/>
      </c>
      <c r="F14" s="50">
        <f>IF(Tables!$B$13+$A14&gt;Tables!$B$18,"",IF('3. Year by Year'!$B$3="Smooth",IF('2. Results'!$C$35="Both claim at 62",INDEX(ENG_S1_BASE!$H$2:$H$42,$A14+1),IF('2. Results'!$C$35="Both claim at 67",INDEX(ENG_S2_BASE!$H$2:$H$42,$A14+1),INDEX(ENG_S3_BASE!$H$2:$H$42,$A14+1))),IF('2. Results'!$C$35="Both claim at 62",INDEX(ENG_S1_STRESS!$H$2:$H$42,$A14+1),IF('2. Results'!$C$35="Both claim at 67",INDEX(ENG_S2_STRESS!$H$2:$H$42,$A14+1),INDEX(ENG_S3_STRESS!$H$2:$H$42,$A14+1)))))</f>
        <v/>
      </c>
      <c r="G14" s="50">
        <f>IF(Tables!$B$13+$A14&gt;Tables!$B$18,"",IF('3. Year by Year'!$B$3="Smooth",IF('2. Results'!$C$35="Both claim at 62",INDEX(ENG_S1_BASE!$L$2:$L$42,$A14+1),IF('2. Results'!$C$35="Both claim at 67",INDEX(ENG_S2_BASE!$L$2:$L$42,$A14+1),INDEX(ENG_S3_BASE!$L$2:$L$42,$A14+1))),IF('2. Results'!$C$35="Both claim at 62",INDEX(ENG_S1_STRESS!$L$2:$L$42,$A14+1),IF('2. Results'!$C$35="Both claim at 67",INDEX(ENG_S2_STRESS!$L$2:$L$42,$A14+1),INDEX(ENG_S3_STRESS!$L$2:$L$42,$A14+1)))))</f>
        <v/>
      </c>
      <c r="H14" s="50">
        <f>IF(Tables!$B$13+$A14&gt;Tables!$B$18,"",IF('3. Year by Year'!$B$3="Smooth",IF('2. Results'!$C$35="Both claim at 62",INDEX(ENG_S1_BASE!$BQ$2:$BQ$42,$A14+1),IF('2. Results'!$C$35="Both claim at 67",INDEX(ENG_S2_BASE!$BQ$2:$BQ$42,$A14+1),INDEX(ENG_S3_BASE!$BQ$2:$BQ$42,$A14+1))),IF('2. Results'!$C$35="Both claim at 62",INDEX(ENG_S1_STRESS!$BQ$2:$BQ$42,$A14+1),IF('2. Results'!$C$35="Both claim at 67",INDEX(ENG_S2_STRESS!$BQ$2:$BQ$42,$A14+1),INDEX(ENG_S3_STRESS!$BQ$2:$BQ$42,$A14+1)))))</f>
        <v/>
      </c>
      <c r="I14" s="50">
        <f>IF(Tables!$B$13+$A14&gt;Tables!$B$18,"",IF('3. Year by Year'!$B$3="Smooth",IF('2. Results'!$C$35="Both claim at 62",INDEX(ENG_S1_BASE!$Q$2:$Q$42,$A14+1),IF('2. Results'!$C$35="Both claim at 67",INDEX(ENG_S2_BASE!$Q$2:$Q$42,$A14+1),INDEX(ENG_S3_BASE!$Q$2:$Q$42,$A14+1))),IF('2. Results'!$C$35="Both claim at 62",INDEX(ENG_S1_STRESS!$Q$2:$Q$42,$A14+1),IF('2. Results'!$C$35="Both claim at 67",INDEX(ENG_S2_STRESS!$Q$2:$Q$42,$A14+1),INDEX(ENG_S3_STRESS!$Q$2:$Q$42,$A14+1)))))</f>
        <v/>
      </c>
      <c r="J14" s="50">
        <f>IF(Tables!$B$13+$A14&gt;Tables!$B$18,"",IF('3. Year by Year'!$B$3="Smooth",IF('2. Results'!$C$35="Both claim at 62",INDEX(ENG_S1_BASE!$BV$2:$BV$42,$A14+1),IF('2. Results'!$C$35="Both claim at 67",INDEX(ENG_S2_BASE!$BV$2:$BV$42,$A14+1),INDEX(ENG_S3_BASE!$BV$2:$BV$42,$A14+1))),IF('2. Results'!$C$35="Both claim at 62",INDEX(ENG_S1_STRESS!$BV$2:$BV$42,$A14+1),IF('2. Results'!$C$35="Both claim at 67",INDEX(ENG_S2_STRESS!$BV$2:$BV$42,$A14+1),INDEX(ENG_S3_STRESS!$BV$2:$BV$42,$A14+1)))))</f>
        <v/>
      </c>
      <c r="K14" s="50">
        <f>IF(Tables!$B$13+$A14&gt;Tables!$B$18,"",IF('3. Year by Year'!$B$3="Smooth",IF('2. Results'!$C$35="Both claim at 62",INDEX(ENG_S1_BASE!$BR$2:$BR$42,$A14+1),IF('2. Results'!$C$35="Both claim at 67",INDEX(ENG_S2_BASE!$BR$2:$BR$42,$A14+1),INDEX(ENG_S3_BASE!$BR$2:$BR$42,$A14+1))),IF('2. Results'!$C$35="Both claim at 62",INDEX(ENG_S1_STRESS!$BR$2:$BR$42,$A14+1),IF('2. Results'!$C$35="Both claim at 67",INDEX(ENG_S2_STRESS!$BR$2:$BR$42,$A14+1),INDEX(ENG_S3_STRESS!$BR$2:$BR$42,$A14+1)))))</f>
        <v/>
      </c>
      <c r="L14" s="50">
        <f>IF(Tables!$B$13+$A14&gt;Tables!$B$18,"",IF('3. Year by Year'!$B$3="Smooth",IF('2. Results'!$C$35="Both claim at 62",INDEX(ENG_S1_BASE!$BT$2:$BT$42,$A14+1),IF('2. Results'!$C$35="Both claim at 67",INDEX(ENG_S2_BASE!$BT$2:$BT$42,$A14+1),INDEX(ENG_S3_BASE!$BT$2:$BT$42,$A14+1))),IF('2. Results'!$C$35="Both claim at 62",INDEX(ENG_S1_STRESS!$BT$2:$BT$42,$A14+1),IF('2. Results'!$C$35="Both claim at 67",INDEX(ENG_S2_STRESS!$BT$2:$BT$42,$A14+1),INDEX(ENG_S3_STRESS!$BT$2:$BT$42,$A14+1)))))</f>
        <v/>
      </c>
      <c r="M14" s="50">
        <f>IF(Tables!$B$13+$A14&gt;Tables!$B$18,"",IF('3. Year by Year'!$B$3="Smooth",IF('2. Results'!$C$35="Both claim at 62",INDEX(ENG_S1_BASE!$BX$2:$BX$42,$A14+1),IF('2. Results'!$C$35="Both claim at 67",INDEX(ENG_S2_BASE!$BX$2:$BX$42,$A14+1),INDEX(ENG_S3_BASE!$BX$2:$BX$42,$A14+1))),IF('2. Results'!$C$35="Both claim at 62",INDEX(ENG_S1_STRESS!$BX$2:$BX$42,$A14+1),IF('2. Results'!$C$35="Both claim at 67",INDEX(ENG_S2_STRESS!$BX$2:$BX$42,$A14+1),INDEX(ENG_S3_STRESS!$BX$2:$BX$42,$A14+1)))))</f>
        <v/>
      </c>
      <c r="N14" s="50">
        <f>IF(Tables!$B$13+$A14&gt;Tables!$B$18,"",IF('3. Year by Year'!$B$3="Smooth",IF('2. Results'!$C$35="Both claim at 62",INDEX(ENG_S1_BASE!$BY$2:$BY$42,$A14+1),IF('2. Results'!$C$35="Both claim at 67",INDEX(ENG_S2_BASE!$BY$2:$BY$42,$A14+1),INDEX(ENG_S3_BASE!$BY$2:$BY$42,$A14+1))),IF('2. Results'!$C$35="Both claim at 62",INDEX(ENG_S1_STRESS!$BY$2:$BY$42,$A14+1),IF('2. Results'!$C$35="Both claim at 67",INDEX(ENG_S2_STRESS!$BY$2:$BY$42,$A14+1),INDEX(ENG_S3_STRESS!$BY$2:$BY$42,$A14+1)))))</f>
        <v/>
      </c>
      <c r="O14" s="50">
        <f>IF(Tables!$B$13+$A14&gt;Tables!$B$18,"",IF('3. Year by Year'!$B$3="Smooth",IF('2. Results'!$C$35="Both claim at 62",INDEX(ENG_S1_BASE!$BZ$2:$BZ$42,$A14+1),IF('2. Results'!$C$35="Both claim at 67",INDEX(ENG_S2_BASE!$BZ$2:$BZ$42,$A14+1),INDEX(ENG_S3_BASE!$BZ$2:$BZ$42,$A14+1))),IF('2. Results'!$C$35="Both claim at 62",INDEX(ENG_S1_STRESS!$BZ$2:$BZ$42,$A14+1),IF('2. Results'!$C$35="Both claim at 67",INDEX(ENG_S2_STRESS!$BZ$2:$BZ$42,$A14+1),INDEX(ENG_S3_STRESS!$BZ$2:$BZ$42,$A14+1)))))</f>
        <v/>
      </c>
      <c r="P14" s="50">
        <f>IF(Tables!$B$13+$A14&gt;Tables!$B$18,"",IF('3. Year by Year'!$B$3="Smooth",IF('2. Results'!$C$35="Both claim at 62",INDEX(ENG_S1_BASE!$CA$2:$CA$42,$A14+1),IF('2. Results'!$C$35="Both claim at 67",INDEX(ENG_S2_BASE!$CA$2:$CA$42,$A14+1),INDEX(ENG_S3_BASE!$CA$2:$CA$42,$A14+1))),IF('2. Results'!$C$35="Both claim at 62",INDEX(ENG_S1_STRESS!$CA$2:$CA$42,$A14+1),IF('2. Results'!$C$35="Both claim at 67",INDEX(ENG_S2_STRESS!$CA$2:$CA$42,$A14+1),INDEX(ENG_S3_STRESS!$CA$2:$CA$42,$A14+1)))))</f>
        <v/>
      </c>
      <c r="Q14" s="50">
        <f>IF(Tables!$B$13+$A14&gt;Tables!$B$18,"",IF('3. Year by Year'!$B$3="Smooth",IF('2. Results'!$C$35="Both claim at 62",INDEX(ENG_S1_BASE!$CB$2:$CB$42,$A14+1),IF('2. Results'!$C$35="Both claim at 67",INDEX(ENG_S2_BASE!$CB$2:$CB$42,$A14+1),INDEX(ENG_S3_BASE!$CB$2:$CB$42,$A14+1))),IF('2. Results'!$C$35="Both claim at 62",INDEX(ENG_S1_STRESS!$CB$2:$CB$42,$A14+1),IF('2. Results'!$C$35="Both claim at 67",INDEX(ENG_S2_STRESS!$CB$2:$CB$42,$A14+1),INDEX(ENG_S3_STRESS!$CB$2:$CB$42,$A14+1)))))</f>
        <v/>
      </c>
      <c r="R14" s="50">
        <f>IF(Tables!$B$13+$A14&gt;Tables!$B$18,"",IF('3. Year by Year'!$B$3="Smooth",IF('2. Results'!$C$35="Both claim at 62",INDEX(ENG_S1_BASE!$CC$2:$CC$42,$A14+1),IF('2. Results'!$C$35="Both claim at 67",INDEX(ENG_S2_BASE!$CC$2:$CC$42,$A14+1),INDEX(ENG_S3_BASE!$CC$2:$CC$42,$A14+1))),IF('2. Results'!$C$35="Both claim at 62",INDEX(ENG_S1_STRESS!$CC$2:$CC$42,$A14+1),IF('2. Results'!$C$35="Both claim at 67",INDEX(ENG_S2_STRESS!$CC$2:$CC$42,$A14+1),INDEX(ENG_S3_STRESS!$CC$2:$CC$42,$A14+1)))))</f>
        <v/>
      </c>
    </row>
    <row r="15">
      <c r="A15" s="43" t="n">
        <v>9</v>
      </c>
      <c r="B15" s="48">
        <f>IF(Tables!$B$13+$A15&gt;Tables!$B$18,"",Tables!$B$14+$A15)</f>
        <v/>
      </c>
      <c r="C15" s="48">
        <f>IF(Tables!$B$13+$A15&gt;Tables!$B$18,"",Tables!$B$13+$A15)</f>
        <v/>
      </c>
      <c r="D15" s="56">
        <f>IF(Tables!$B$13+$A15&gt;Tables!$B$18,"",IF('3. Year by Year'!$B$3="Smooth",IF('2. Results'!$C$35="Both claim at 62",INDEX(ENG_S1_BASE!$D$2:$D$42,$A15+1),IF('2. Results'!$C$35="Both claim at 67",INDEX(ENG_S2_BASE!$D$2:$D$42,$A15+1),INDEX(ENG_S3_BASE!$D$2:$D$42,$A15+1))),IF('2. Results'!$C$35="Both claim at 62",INDEX(ENG_S1_STRESS!$D$2:$D$42,$A15+1),IF('2. Results'!$C$35="Both claim at 67",INDEX(ENG_S2_STRESS!$D$2:$D$42,$A15+1),INDEX(ENG_S3_STRESS!$D$2:$D$42,$A15+1)))))</f>
        <v/>
      </c>
      <c r="E15" s="47">
        <f>IF(Tables!$B$13+$A15&gt;Tables!$B$18,"",IF('3. Year by Year'!$B$3="Smooth",IF('2. Results'!$C$35="Both claim at 62",INDEX(ENG_S1_BASE!$G$2:$G$42,$A15+1),IF('2. Results'!$C$35="Both claim at 67",INDEX(ENG_S2_BASE!$G$2:$G$42,$A15+1),INDEX(ENG_S3_BASE!$G$2:$G$42,$A15+1))),IF('2. Results'!$C$35="Both claim at 62",INDEX(ENG_S1_STRESS!$G$2:$G$42,$A15+1),IF('2. Results'!$C$35="Both claim at 67",INDEX(ENG_S2_STRESS!$G$2:$G$42,$A15+1),INDEX(ENG_S3_STRESS!$G$2:$G$42,$A15+1)))))</f>
        <v/>
      </c>
      <c r="F15" s="47">
        <f>IF(Tables!$B$13+$A15&gt;Tables!$B$18,"",IF('3. Year by Year'!$B$3="Smooth",IF('2. Results'!$C$35="Both claim at 62",INDEX(ENG_S1_BASE!$H$2:$H$42,$A15+1),IF('2. Results'!$C$35="Both claim at 67",INDEX(ENG_S2_BASE!$H$2:$H$42,$A15+1),INDEX(ENG_S3_BASE!$H$2:$H$42,$A15+1))),IF('2. Results'!$C$35="Both claim at 62",INDEX(ENG_S1_STRESS!$H$2:$H$42,$A15+1),IF('2. Results'!$C$35="Both claim at 67",INDEX(ENG_S2_STRESS!$H$2:$H$42,$A15+1),INDEX(ENG_S3_STRESS!$H$2:$H$42,$A15+1)))))</f>
        <v/>
      </c>
      <c r="G15" s="47">
        <f>IF(Tables!$B$13+$A15&gt;Tables!$B$18,"",IF('3. Year by Year'!$B$3="Smooth",IF('2. Results'!$C$35="Both claim at 62",INDEX(ENG_S1_BASE!$L$2:$L$42,$A15+1),IF('2. Results'!$C$35="Both claim at 67",INDEX(ENG_S2_BASE!$L$2:$L$42,$A15+1),INDEX(ENG_S3_BASE!$L$2:$L$42,$A15+1))),IF('2. Results'!$C$35="Both claim at 62",INDEX(ENG_S1_STRESS!$L$2:$L$42,$A15+1),IF('2. Results'!$C$35="Both claim at 67",INDEX(ENG_S2_STRESS!$L$2:$L$42,$A15+1),INDEX(ENG_S3_STRESS!$L$2:$L$42,$A15+1)))))</f>
        <v/>
      </c>
      <c r="H15" s="47">
        <f>IF(Tables!$B$13+$A15&gt;Tables!$B$18,"",IF('3. Year by Year'!$B$3="Smooth",IF('2. Results'!$C$35="Both claim at 62",INDEX(ENG_S1_BASE!$BQ$2:$BQ$42,$A15+1),IF('2. Results'!$C$35="Both claim at 67",INDEX(ENG_S2_BASE!$BQ$2:$BQ$42,$A15+1),INDEX(ENG_S3_BASE!$BQ$2:$BQ$42,$A15+1))),IF('2. Results'!$C$35="Both claim at 62",INDEX(ENG_S1_STRESS!$BQ$2:$BQ$42,$A15+1),IF('2. Results'!$C$35="Both claim at 67",INDEX(ENG_S2_STRESS!$BQ$2:$BQ$42,$A15+1),INDEX(ENG_S3_STRESS!$BQ$2:$BQ$42,$A15+1)))))</f>
        <v/>
      </c>
      <c r="I15" s="47">
        <f>IF(Tables!$B$13+$A15&gt;Tables!$B$18,"",IF('3. Year by Year'!$B$3="Smooth",IF('2. Results'!$C$35="Both claim at 62",INDEX(ENG_S1_BASE!$Q$2:$Q$42,$A15+1),IF('2. Results'!$C$35="Both claim at 67",INDEX(ENG_S2_BASE!$Q$2:$Q$42,$A15+1),INDEX(ENG_S3_BASE!$Q$2:$Q$42,$A15+1))),IF('2. Results'!$C$35="Both claim at 62",INDEX(ENG_S1_STRESS!$Q$2:$Q$42,$A15+1),IF('2. Results'!$C$35="Both claim at 67",INDEX(ENG_S2_STRESS!$Q$2:$Q$42,$A15+1),INDEX(ENG_S3_STRESS!$Q$2:$Q$42,$A15+1)))))</f>
        <v/>
      </c>
      <c r="J15" s="47">
        <f>IF(Tables!$B$13+$A15&gt;Tables!$B$18,"",IF('3. Year by Year'!$B$3="Smooth",IF('2. Results'!$C$35="Both claim at 62",INDEX(ENG_S1_BASE!$BV$2:$BV$42,$A15+1),IF('2. Results'!$C$35="Both claim at 67",INDEX(ENG_S2_BASE!$BV$2:$BV$42,$A15+1),INDEX(ENG_S3_BASE!$BV$2:$BV$42,$A15+1))),IF('2. Results'!$C$35="Both claim at 62",INDEX(ENG_S1_STRESS!$BV$2:$BV$42,$A15+1),IF('2. Results'!$C$35="Both claim at 67",INDEX(ENG_S2_STRESS!$BV$2:$BV$42,$A15+1),INDEX(ENG_S3_STRESS!$BV$2:$BV$42,$A15+1)))))</f>
        <v/>
      </c>
      <c r="K15" s="47">
        <f>IF(Tables!$B$13+$A15&gt;Tables!$B$18,"",IF('3. Year by Year'!$B$3="Smooth",IF('2. Results'!$C$35="Both claim at 62",INDEX(ENG_S1_BASE!$BR$2:$BR$42,$A15+1),IF('2. Results'!$C$35="Both claim at 67",INDEX(ENG_S2_BASE!$BR$2:$BR$42,$A15+1),INDEX(ENG_S3_BASE!$BR$2:$BR$42,$A15+1))),IF('2. Results'!$C$35="Both claim at 62",INDEX(ENG_S1_STRESS!$BR$2:$BR$42,$A15+1),IF('2. Results'!$C$35="Both claim at 67",INDEX(ENG_S2_STRESS!$BR$2:$BR$42,$A15+1),INDEX(ENG_S3_STRESS!$BR$2:$BR$42,$A15+1)))))</f>
        <v/>
      </c>
      <c r="L15" s="47">
        <f>IF(Tables!$B$13+$A15&gt;Tables!$B$18,"",IF('3. Year by Year'!$B$3="Smooth",IF('2. Results'!$C$35="Both claim at 62",INDEX(ENG_S1_BASE!$BT$2:$BT$42,$A15+1),IF('2. Results'!$C$35="Both claim at 67",INDEX(ENG_S2_BASE!$BT$2:$BT$42,$A15+1),INDEX(ENG_S3_BASE!$BT$2:$BT$42,$A15+1))),IF('2. Results'!$C$35="Both claim at 62",INDEX(ENG_S1_STRESS!$BT$2:$BT$42,$A15+1),IF('2. Results'!$C$35="Both claim at 67",INDEX(ENG_S2_STRESS!$BT$2:$BT$42,$A15+1),INDEX(ENG_S3_STRESS!$BT$2:$BT$42,$A15+1)))))</f>
        <v/>
      </c>
      <c r="M15" s="47">
        <f>IF(Tables!$B$13+$A15&gt;Tables!$B$18,"",IF('3. Year by Year'!$B$3="Smooth",IF('2. Results'!$C$35="Both claim at 62",INDEX(ENG_S1_BASE!$BX$2:$BX$42,$A15+1),IF('2. Results'!$C$35="Both claim at 67",INDEX(ENG_S2_BASE!$BX$2:$BX$42,$A15+1),INDEX(ENG_S3_BASE!$BX$2:$BX$42,$A15+1))),IF('2. Results'!$C$35="Both claim at 62",INDEX(ENG_S1_STRESS!$BX$2:$BX$42,$A15+1),IF('2. Results'!$C$35="Both claim at 67",INDEX(ENG_S2_STRESS!$BX$2:$BX$42,$A15+1),INDEX(ENG_S3_STRESS!$BX$2:$BX$42,$A15+1)))))</f>
        <v/>
      </c>
      <c r="N15" s="47">
        <f>IF(Tables!$B$13+$A15&gt;Tables!$B$18,"",IF('3. Year by Year'!$B$3="Smooth",IF('2. Results'!$C$35="Both claim at 62",INDEX(ENG_S1_BASE!$BY$2:$BY$42,$A15+1),IF('2. Results'!$C$35="Both claim at 67",INDEX(ENG_S2_BASE!$BY$2:$BY$42,$A15+1),INDEX(ENG_S3_BASE!$BY$2:$BY$42,$A15+1))),IF('2. Results'!$C$35="Both claim at 62",INDEX(ENG_S1_STRESS!$BY$2:$BY$42,$A15+1),IF('2. Results'!$C$35="Both claim at 67",INDEX(ENG_S2_STRESS!$BY$2:$BY$42,$A15+1),INDEX(ENG_S3_STRESS!$BY$2:$BY$42,$A15+1)))))</f>
        <v/>
      </c>
      <c r="O15" s="47">
        <f>IF(Tables!$B$13+$A15&gt;Tables!$B$18,"",IF('3. Year by Year'!$B$3="Smooth",IF('2. Results'!$C$35="Both claim at 62",INDEX(ENG_S1_BASE!$BZ$2:$BZ$42,$A15+1),IF('2. Results'!$C$35="Both claim at 67",INDEX(ENG_S2_BASE!$BZ$2:$BZ$42,$A15+1),INDEX(ENG_S3_BASE!$BZ$2:$BZ$42,$A15+1))),IF('2. Results'!$C$35="Both claim at 62",INDEX(ENG_S1_STRESS!$BZ$2:$BZ$42,$A15+1),IF('2. Results'!$C$35="Both claim at 67",INDEX(ENG_S2_STRESS!$BZ$2:$BZ$42,$A15+1),INDEX(ENG_S3_STRESS!$BZ$2:$BZ$42,$A15+1)))))</f>
        <v/>
      </c>
      <c r="P15" s="47">
        <f>IF(Tables!$B$13+$A15&gt;Tables!$B$18,"",IF('3. Year by Year'!$B$3="Smooth",IF('2. Results'!$C$35="Both claim at 62",INDEX(ENG_S1_BASE!$CA$2:$CA$42,$A15+1),IF('2. Results'!$C$35="Both claim at 67",INDEX(ENG_S2_BASE!$CA$2:$CA$42,$A15+1),INDEX(ENG_S3_BASE!$CA$2:$CA$42,$A15+1))),IF('2. Results'!$C$35="Both claim at 62",INDEX(ENG_S1_STRESS!$CA$2:$CA$42,$A15+1),IF('2. Results'!$C$35="Both claim at 67",INDEX(ENG_S2_STRESS!$CA$2:$CA$42,$A15+1),INDEX(ENG_S3_STRESS!$CA$2:$CA$42,$A15+1)))))</f>
        <v/>
      </c>
      <c r="Q15" s="47">
        <f>IF(Tables!$B$13+$A15&gt;Tables!$B$18,"",IF('3. Year by Year'!$B$3="Smooth",IF('2. Results'!$C$35="Both claim at 62",INDEX(ENG_S1_BASE!$CB$2:$CB$42,$A15+1),IF('2. Results'!$C$35="Both claim at 67",INDEX(ENG_S2_BASE!$CB$2:$CB$42,$A15+1),INDEX(ENG_S3_BASE!$CB$2:$CB$42,$A15+1))),IF('2. Results'!$C$35="Both claim at 62",INDEX(ENG_S1_STRESS!$CB$2:$CB$42,$A15+1),IF('2. Results'!$C$35="Both claim at 67",INDEX(ENG_S2_STRESS!$CB$2:$CB$42,$A15+1),INDEX(ENG_S3_STRESS!$CB$2:$CB$42,$A15+1)))))</f>
        <v/>
      </c>
      <c r="R15" s="47">
        <f>IF(Tables!$B$13+$A15&gt;Tables!$B$18,"",IF('3. Year by Year'!$B$3="Smooth",IF('2. Results'!$C$35="Both claim at 62",INDEX(ENG_S1_BASE!$CC$2:$CC$42,$A15+1),IF('2. Results'!$C$35="Both claim at 67",INDEX(ENG_S2_BASE!$CC$2:$CC$42,$A15+1),INDEX(ENG_S3_BASE!$CC$2:$CC$42,$A15+1))),IF('2. Results'!$C$35="Both claim at 62",INDEX(ENG_S1_STRESS!$CC$2:$CC$42,$A15+1),IF('2. Results'!$C$35="Both claim at 67",INDEX(ENG_S2_STRESS!$CC$2:$CC$42,$A15+1),INDEX(ENG_S3_STRESS!$CC$2:$CC$42,$A15+1)))))</f>
        <v/>
      </c>
    </row>
    <row r="16">
      <c r="A16" s="43" t="n">
        <v>10</v>
      </c>
      <c r="B16" s="51">
        <f>IF(Tables!$B$13+$A16&gt;Tables!$B$18,"",Tables!$B$14+$A16)</f>
        <v/>
      </c>
      <c r="C16" s="51">
        <f>IF(Tables!$B$13+$A16&gt;Tables!$B$18,"",Tables!$B$13+$A16)</f>
        <v/>
      </c>
      <c r="D16" s="55">
        <f>IF(Tables!$B$13+$A16&gt;Tables!$B$18,"",IF('3. Year by Year'!$B$3="Smooth",IF('2. Results'!$C$35="Both claim at 62",INDEX(ENG_S1_BASE!$D$2:$D$42,$A16+1),IF('2. Results'!$C$35="Both claim at 67",INDEX(ENG_S2_BASE!$D$2:$D$42,$A16+1),INDEX(ENG_S3_BASE!$D$2:$D$42,$A16+1))),IF('2. Results'!$C$35="Both claim at 62",INDEX(ENG_S1_STRESS!$D$2:$D$42,$A16+1),IF('2. Results'!$C$35="Both claim at 67",INDEX(ENG_S2_STRESS!$D$2:$D$42,$A16+1),INDEX(ENG_S3_STRESS!$D$2:$D$42,$A16+1)))))</f>
        <v/>
      </c>
      <c r="E16" s="50">
        <f>IF(Tables!$B$13+$A16&gt;Tables!$B$18,"",IF('3. Year by Year'!$B$3="Smooth",IF('2. Results'!$C$35="Both claim at 62",INDEX(ENG_S1_BASE!$G$2:$G$42,$A16+1),IF('2. Results'!$C$35="Both claim at 67",INDEX(ENG_S2_BASE!$G$2:$G$42,$A16+1),INDEX(ENG_S3_BASE!$G$2:$G$42,$A16+1))),IF('2. Results'!$C$35="Both claim at 62",INDEX(ENG_S1_STRESS!$G$2:$G$42,$A16+1),IF('2. Results'!$C$35="Both claim at 67",INDEX(ENG_S2_STRESS!$G$2:$G$42,$A16+1),INDEX(ENG_S3_STRESS!$G$2:$G$42,$A16+1)))))</f>
        <v/>
      </c>
      <c r="F16" s="50">
        <f>IF(Tables!$B$13+$A16&gt;Tables!$B$18,"",IF('3. Year by Year'!$B$3="Smooth",IF('2. Results'!$C$35="Both claim at 62",INDEX(ENG_S1_BASE!$H$2:$H$42,$A16+1),IF('2. Results'!$C$35="Both claim at 67",INDEX(ENG_S2_BASE!$H$2:$H$42,$A16+1),INDEX(ENG_S3_BASE!$H$2:$H$42,$A16+1))),IF('2. Results'!$C$35="Both claim at 62",INDEX(ENG_S1_STRESS!$H$2:$H$42,$A16+1),IF('2. Results'!$C$35="Both claim at 67",INDEX(ENG_S2_STRESS!$H$2:$H$42,$A16+1),INDEX(ENG_S3_STRESS!$H$2:$H$42,$A16+1)))))</f>
        <v/>
      </c>
      <c r="G16" s="50">
        <f>IF(Tables!$B$13+$A16&gt;Tables!$B$18,"",IF('3. Year by Year'!$B$3="Smooth",IF('2. Results'!$C$35="Both claim at 62",INDEX(ENG_S1_BASE!$L$2:$L$42,$A16+1),IF('2. Results'!$C$35="Both claim at 67",INDEX(ENG_S2_BASE!$L$2:$L$42,$A16+1),INDEX(ENG_S3_BASE!$L$2:$L$42,$A16+1))),IF('2. Results'!$C$35="Both claim at 62",INDEX(ENG_S1_STRESS!$L$2:$L$42,$A16+1),IF('2. Results'!$C$35="Both claim at 67",INDEX(ENG_S2_STRESS!$L$2:$L$42,$A16+1),INDEX(ENG_S3_STRESS!$L$2:$L$42,$A16+1)))))</f>
        <v/>
      </c>
      <c r="H16" s="50">
        <f>IF(Tables!$B$13+$A16&gt;Tables!$B$18,"",IF('3. Year by Year'!$B$3="Smooth",IF('2. Results'!$C$35="Both claim at 62",INDEX(ENG_S1_BASE!$BQ$2:$BQ$42,$A16+1),IF('2. Results'!$C$35="Both claim at 67",INDEX(ENG_S2_BASE!$BQ$2:$BQ$42,$A16+1),INDEX(ENG_S3_BASE!$BQ$2:$BQ$42,$A16+1))),IF('2. Results'!$C$35="Both claim at 62",INDEX(ENG_S1_STRESS!$BQ$2:$BQ$42,$A16+1),IF('2. Results'!$C$35="Both claim at 67",INDEX(ENG_S2_STRESS!$BQ$2:$BQ$42,$A16+1),INDEX(ENG_S3_STRESS!$BQ$2:$BQ$42,$A16+1)))))</f>
        <v/>
      </c>
      <c r="I16" s="50">
        <f>IF(Tables!$B$13+$A16&gt;Tables!$B$18,"",IF('3. Year by Year'!$B$3="Smooth",IF('2. Results'!$C$35="Both claim at 62",INDEX(ENG_S1_BASE!$Q$2:$Q$42,$A16+1),IF('2. Results'!$C$35="Both claim at 67",INDEX(ENG_S2_BASE!$Q$2:$Q$42,$A16+1),INDEX(ENG_S3_BASE!$Q$2:$Q$42,$A16+1))),IF('2. Results'!$C$35="Both claim at 62",INDEX(ENG_S1_STRESS!$Q$2:$Q$42,$A16+1),IF('2. Results'!$C$35="Both claim at 67",INDEX(ENG_S2_STRESS!$Q$2:$Q$42,$A16+1),INDEX(ENG_S3_STRESS!$Q$2:$Q$42,$A16+1)))))</f>
        <v/>
      </c>
      <c r="J16" s="50">
        <f>IF(Tables!$B$13+$A16&gt;Tables!$B$18,"",IF('3. Year by Year'!$B$3="Smooth",IF('2. Results'!$C$35="Both claim at 62",INDEX(ENG_S1_BASE!$BV$2:$BV$42,$A16+1),IF('2. Results'!$C$35="Both claim at 67",INDEX(ENG_S2_BASE!$BV$2:$BV$42,$A16+1),INDEX(ENG_S3_BASE!$BV$2:$BV$42,$A16+1))),IF('2. Results'!$C$35="Both claim at 62",INDEX(ENG_S1_STRESS!$BV$2:$BV$42,$A16+1),IF('2. Results'!$C$35="Both claim at 67",INDEX(ENG_S2_STRESS!$BV$2:$BV$42,$A16+1),INDEX(ENG_S3_STRESS!$BV$2:$BV$42,$A16+1)))))</f>
        <v/>
      </c>
      <c r="K16" s="50">
        <f>IF(Tables!$B$13+$A16&gt;Tables!$B$18,"",IF('3. Year by Year'!$B$3="Smooth",IF('2. Results'!$C$35="Both claim at 62",INDEX(ENG_S1_BASE!$BR$2:$BR$42,$A16+1),IF('2. Results'!$C$35="Both claim at 67",INDEX(ENG_S2_BASE!$BR$2:$BR$42,$A16+1),INDEX(ENG_S3_BASE!$BR$2:$BR$42,$A16+1))),IF('2. Results'!$C$35="Both claim at 62",INDEX(ENG_S1_STRESS!$BR$2:$BR$42,$A16+1),IF('2. Results'!$C$35="Both claim at 67",INDEX(ENG_S2_STRESS!$BR$2:$BR$42,$A16+1),INDEX(ENG_S3_STRESS!$BR$2:$BR$42,$A16+1)))))</f>
        <v/>
      </c>
      <c r="L16" s="50">
        <f>IF(Tables!$B$13+$A16&gt;Tables!$B$18,"",IF('3. Year by Year'!$B$3="Smooth",IF('2. Results'!$C$35="Both claim at 62",INDEX(ENG_S1_BASE!$BT$2:$BT$42,$A16+1),IF('2. Results'!$C$35="Both claim at 67",INDEX(ENG_S2_BASE!$BT$2:$BT$42,$A16+1),INDEX(ENG_S3_BASE!$BT$2:$BT$42,$A16+1))),IF('2. Results'!$C$35="Both claim at 62",INDEX(ENG_S1_STRESS!$BT$2:$BT$42,$A16+1),IF('2. Results'!$C$35="Both claim at 67",INDEX(ENG_S2_STRESS!$BT$2:$BT$42,$A16+1),INDEX(ENG_S3_STRESS!$BT$2:$BT$42,$A16+1)))))</f>
        <v/>
      </c>
      <c r="M16" s="50">
        <f>IF(Tables!$B$13+$A16&gt;Tables!$B$18,"",IF('3. Year by Year'!$B$3="Smooth",IF('2. Results'!$C$35="Both claim at 62",INDEX(ENG_S1_BASE!$BX$2:$BX$42,$A16+1),IF('2. Results'!$C$35="Both claim at 67",INDEX(ENG_S2_BASE!$BX$2:$BX$42,$A16+1),INDEX(ENG_S3_BASE!$BX$2:$BX$42,$A16+1))),IF('2. Results'!$C$35="Both claim at 62",INDEX(ENG_S1_STRESS!$BX$2:$BX$42,$A16+1),IF('2. Results'!$C$35="Both claim at 67",INDEX(ENG_S2_STRESS!$BX$2:$BX$42,$A16+1),INDEX(ENG_S3_STRESS!$BX$2:$BX$42,$A16+1)))))</f>
        <v/>
      </c>
      <c r="N16" s="50">
        <f>IF(Tables!$B$13+$A16&gt;Tables!$B$18,"",IF('3. Year by Year'!$B$3="Smooth",IF('2. Results'!$C$35="Both claim at 62",INDEX(ENG_S1_BASE!$BY$2:$BY$42,$A16+1),IF('2. Results'!$C$35="Both claim at 67",INDEX(ENG_S2_BASE!$BY$2:$BY$42,$A16+1),INDEX(ENG_S3_BASE!$BY$2:$BY$42,$A16+1))),IF('2. Results'!$C$35="Both claim at 62",INDEX(ENG_S1_STRESS!$BY$2:$BY$42,$A16+1),IF('2. Results'!$C$35="Both claim at 67",INDEX(ENG_S2_STRESS!$BY$2:$BY$42,$A16+1),INDEX(ENG_S3_STRESS!$BY$2:$BY$42,$A16+1)))))</f>
        <v/>
      </c>
      <c r="O16" s="50">
        <f>IF(Tables!$B$13+$A16&gt;Tables!$B$18,"",IF('3. Year by Year'!$B$3="Smooth",IF('2. Results'!$C$35="Both claim at 62",INDEX(ENG_S1_BASE!$BZ$2:$BZ$42,$A16+1),IF('2. Results'!$C$35="Both claim at 67",INDEX(ENG_S2_BASE!$BZ$2:$BZ$42,$A16+1),INDEX(ENG_S3_BASE!$BZ$2:$BZ$42,$A16+1))),IF('2. Results'!$C$35="Both claim at 62",INDEX(ENG_S1_STRESS!$BZ$2:$BZ$42,$A16+1),IF('2. Results'!$C$35="Both claim at 67",INDEX(ENG_S2_STRESS!$BZ$2:$BZ$42,$A16+1),INDEX(ENG_S3_STRESS!$BZ$2:$BZ$42,$A16+1)))))</f>
        <v/>
      </c>
      <c r="P16" s="50">
        <f>IF(Tables!$B$13+$A16&gt;Tables!$B$18,"",IF('3. Year by Year'!$B$3="Smooth",IF('2. Results'!$C$35="Both claim at 62",INDEX(ENG_S1_BASE!$CA$2:$CA$42,$A16+1),IF('2. Results'!$C$35="Both claim at 67",INDEX(ENG_S2_BASE!$CA$2:$CA$42,$A16+1),INDEX(ENG_S3_BASE!$CA$2:$CA$42,$A16+1))),IF('2. Results'!$C$35="Both claim at 62",INDEX(ENG_S1_STRESS!$CA$2:$CA$42,$A16+1),IF('2. Results'!$C$35="Both claim at 67",INDEX(ENG_S2_STRESS!$CA$2:$CA$42,$A16+1),INDEX(ENG_S3_STRESS!$CA$2:$CA$42,$A16+1)))))</f>
        <v/>
      </c>
      <c r="Q16" s="50">
        <f>IF(Tables!$B$13+$A16&gt;Tables!$B$18,"",IF('3. Year by Year'!$B$3="Smooth",IF('2. Results'!$C$35="Both claim at 62",INDEX(ENG_S1_BASE!$CB$2:$CB$42,$A16+1),IF('2. Results'!$C$35="Both claim at 67",INDEX(ENG_S2_BASE!$CB$2:$CB$42,$A16+1),INDEX(ENG_S3_BASE!$CB$2:$CB$42,$A16+1))),IF('2. Results'!$C$35="Both claim at 62",INDEX(ENG_S1_STRESS!$CB$2:$CB$42,$A16+1),IF('2. Results'!$C$35="Both claim at 67",INDEX(ENG_S2_STRESS!$CB$2:$CB$42,$A16+1),INDEX(ENG_S3_STRESS!$CB$2:$CB$42,$A16+1)))))</f>
        <v/>
      </c>
      <c r="R16" s="50">
        <f>IF(Tables!$B$13+$A16&gt;Tables!$B$18,"",IF('3. Year by Year'!$B$3="Smooth",IF('2. Results'!$C$35="Both claim at 62",INDEX(ENG_S1_BASE!$CC$2:$CC$42,$A16+1),IF('2. Results'!$C$35="Both claim at 67",INDEX(ENG_S2_BASE!$CC$2:$CC$42,$A16+1),INDEX(ENG_S3_BASE!$CC$2:$CC$42,$A16+1))),IF('2. Results'!$C$35="Both claim at 62",INDEX(ENG_S1_STRESS!$CC$2:$CC$42,$A16+1),IF('2. Results'!$C$35="Both claim at 67",INDEX(ENG_S2_STRESS!$CC$2:$CC$42,$A16+1),INDEX(ENG_S3_STRESS!$CC$2:$CC$42,$A16+1)))))</f>
        <v/>
      </c>
    </row>
    <row r="17">
      <c r="A17" s="43" t="n">
        <v>11</v>
      </c>
      <c r="B17" s="48">
        <f>IF(Tables!$B$13+$A17&gt;Tables!$B$18,"",Tables!$B$14+$A17)</f>
        <v/>
      </c>
      <c r="C17" s="48">
        <f>IF(Tables!$B$13+$A17&gt;Tables!$B$18,"",Tables!$B$13+$A17)</f>
        <v/>
      </c>
      <c r="D17" s="56">
        <f>IF(Tables!$B$13+$A17&gt;Tables!$B$18,"",IF('3. Year by Year'!$B$3="Smooth",IF('2. Results'!$C$35="Both claim at 62",INDEX(ENG_S1_BASE!$D$2:$D$42,$A17+1),IF('2. Results'!$C$35="Both claim at 67",INDEX(ENG_S2_BASE!$D$2:$D$42,$A17+1),INDEX(ENG_S3_BASE!$D$2:$D$42,$A17+1))),IF('2. Results'!$C$35="Both claim at 62",INDEX(ENG_S1_STRESS!$D$2:$D$42,$A17+1),IF('2. Results'!$C$35="Both claim at 67",INDEX(ENG_S2_STRESS!$D$2:$D$42,$A17+1),INDEX(ENG_S3_STRESS!$D$2:$D$42,$A17+1)))))</f>
        <v/>
      </c>
      <c r="E17" s="47">
        <f>IF(Tables!$B$13+$A17&gt;Tables!$B$18,"",IF('3. Year by Year'!$B$3="Smooth",IF('2. Results'!$C$35="Both claim at 62",INDEX(ENG_S1_BASE!$G$2:$G$42,$A17+1),IF('2. Results'!$C$35="Both claim at 67",INDEX(ENG_S2_BASE!$G$2:$G$42,$A17+1),INDEX(ENG_S3_BASE!$G$2:$G$42,$A17+1))),IF('2. Results'!$C$35="Both claim at 62",INDEX(ENG_S1_STRESS!$G$2:$G$42,$A17+1),IF('2. Results'!$C$35="Both claim at 67",INDEX(ENG_S2_STRESS!$G$2:$G$42,$A17+1),INDEX(ENG_S3_STRESS!$G$2:$G$42,$A17+1)))))</f>
        <v/>
      </c>
      <c r="F17" s="47">
        <f>IF(Tables!$B$13+$A17&gt;Tables!$B$18,"",IF('3. Year by Year'!$B$3="Smooth",IF('2. Results'!$C$35="Both claim at 62",INDEX(ENG_S1_BASE!$H$2:$H$42,$A17+1),IF('2. Results'!$C$35="Both claim at 67",INDEX(ENG_S2_BASE!$H$2:$H$42,$A17+1),INDEX(ENG_S3_BASE!$H$2:$H$42,$A17+1))),IF('2. Results'!$C$35="Both claim at 62",INDEX(ENG_S1_STRESS!$H$2:$H$42,$A17+1),IF('2. Results'!$C$35="Both claim at 67",INDEX(ENG_S2_STRESS!$H$2:$H$42,$A17+1),INDEX(ENG_S3_STRESS!$H$2:$H$42,$A17+1)))))</f>
        <v/>
      </c>
      <c r="G17" s="47">
        <f>IF(Tables!$B$13+$A17&gt;Tables!$B$18,"",IF('3. Year by Year'!$B$3="Smooth",IF('2. Results'!$C$35="Both claim at 62",INDEX(ENG_S1_BASE!$L$2:$L$42,$A17+1),IF('2. Results'!$C$35="Both claim at 67",INDEX(ENG_S2_BASE!$L$2:$L$42,$A17+1),INDEX(ENG_S3_BASE!$L$2:$L$42,$A17+1))),IF('2. Results'!$C$35="Both claim at 62",INDEX(ENG_S1_STRESS!$L$2:$L$42,$A17+1),IF('2. Results'!$C$35="Both claim at 67",INDEX(ENG_S2_STRESS!$L$2:$L$42,$A17+1),INDEX(ENG_S3_STRESS!$L$2:$L$42,$A17+1)))))</f>
        <v/>
      </c>
      <c r="H17" s="47">
        <f>IF(Tables!$B$13+$A17&gt;Tables!$B$18,"",IF('3. Year by Year'!$B$3="Smooth",IF('2. Results'!$C$35="Both claim at 62",INDEX(ENG_S1_BASE!$BQ$2:$BQ$42,$A17+1),IF('2. Results'!$C$35="Both claim at 67",INDEX(ENG_S2_BASE!$BQ$2:$BQ$42,$A17+1),INDEX(ENG_S3_BASE!$BQ$2:$BQ$42,$A17+1))),IF('2. Results'!$C$35="Both claim at 62",INDEX(ENG_S1_STRESS!$BQ$2:$BQ$42,$A17+1),IF('2. Results'!$C$35="Both claim at 67",INDEX(ENG_S2_STRESS!$BQ$2:$BQ$42,$A17+1),INDEX(ENG_S3_STRESS!$BQ$2:$BQ$42,$A17+1)))))</f>
        <v/>
      </c>
      <c r="I17" s="47">
        <f>IF(Tables!$B$13+$A17&gt;Tables!$B$18,"",IF('3. Year by Year'!$B$3="Smooth",IF('2. Results'!$C$35="Both claim at 62",INDEX(ENG_S1_BASE!$Q$2:$Q$42,$A17+1),IF('2. Results'!$C$35="Both claim at 67",INDEX(ENG_S2_BASE!$Q$2:$Q$42,$A17+1),INDEX(ENG_S3_BASE!$Q$2:$Q$42,$A17+1))),IF('2. Results'!$C$35="Both claim at 62",INDEX(ENG_S1_STRESS!$Q$2:$Q$42,$A17+1),IF('2. Results'!$C$35="Both claim at 67",INDEX(ENG_S2_STRESS!$Q$2:$Q$42,$A17+1),INDEX(ENG_S3_STRESS!$Q$2:$Q$42,$A17+1)))))</f>
        <v/>
      </c>
      <c r="J17" s="47">
        <f>IF(Tables!$B$13+$A17&gt;Tables!$B$18,"",IF('3. Year by Year'!$B$3="Smooth",IF('2. Results'!$C$35="Both claim at 62",INDEX(ENG_S1_BASE!$BV$2:$BV$42,$A17+1),IF('2. Results'!$C$35="Both claim at 67",INDEX(ENG_S2_BASE!$BV$2:$BV$42,$A17+1),INDEX(ENG_S3_BASE!$BV$2:$BV$42,$A17+1))),IF('2. Results'!$C$35="Both claim at 62",INDEX(ENG_S1_STRESS!$BV$2:$BV$42,$A17+1),IF('2. Results'!$C$35="Both claim at 67",INDEX(ENG_S2_STRESS!$BV$2:$BV$42,$A17+1),INDEX(ENG_S3_STRESS!$BV$2:$BV$42,$A17+1)))))</f>
        <v/>
      </c>
      <c r="K17" s="47">
        <f>IF(Tables!$B$13+$A17&gt;Tables!$B$18,"",IF('3. Year by Year'!$B$3="Smooth",IF('2. Results'!$C$35="Both claim at 62",INDEX(ENG_S1_BASE!$BR$2:$BR$42,$A17+1),IF('2. Results'!$C$35="Both claim at 67",INDEX(ENG_S2_BASE!$BR$2:$BR$42,$A17+1),INDEX(ENG_S3_BASE!$BR$2:$BR$42,$A17+1))),IF('2. Results'!$C$35="Both claim at 62",INDEX(ENG_S1_STRESS!$BR$2:$BR$42,$A17+1),IF('2. Results'!$C$35="Both claim at 67",INDEX(ENG_S2_STRESS!$BR$2:$BR$42,$A17+1),INDEX(ENG_S3_STRESS!$BR$2:$BR$42,$A17+1)))))</f>
        <v/>
      </c>
      <c r="L17" s="47">
        <f>IF(Tables!$B$13+$A17&gt;Tables!$B$18,"",IF('3. Year by Year'!$B$3="Smooth",IF('2. Results'!$C$35="Both claim at 62",INDEX(ENG_S1_BASE!$BT$2:$BT$42,$A17+1),IF('2. Results'!$C$35="Both claim at 67",INDEX(ENG_S2_BASE!$BT$2:$BT$42,$A17+1),INDEX(ENG_S3_BASE!$BT$2:$BT$42,$A17+1))),IF('2. Results'!$C$35="Both claim at 62",INDEX(ENG_S1_STRESS!$BT$2:$BT$42,$A17+1),IF('2. Results'!$C$35="Both claim at 67",INDEX(ENG_S2_STRESS!$BT$2:$BT$42,$A17+1),INDEX(ENG_S3_STRESS!$BT$2:$BT$42,$A17+1)))))</f>
        <v/>
      </c>
      <c r="M17" s="47">
        <f>IF(Tables!$B$13+$A17&gt;Tables!$B$18,"",IF('3. Year by Year'!$B$3="Smooth",IF('2. Results'!$C$35="Both claim at 62",INDEX(ENG_S1_BASE!$BX$2:$BX$42,$A17+1),IF('2. Results'!$C$35="Both claim at 67",INDEX(ENG_S2_BASE!$BX$2:$BX$42,$A17+1),INDEX(ENG_S3_BASE!$BX$2:$BX$42,$A17+1))),IF('2. Results'!$C$35="Both claim at 62",INDEX(ENG_S1_STRESS!$BX$2:$BX$42,$A17+1),IF('2. Results'!$C$35="Both claim at 67",INDEX(ENG_S2_STRESS!$BX$2:$BX$42,$A17+1),INDEX(ENG_S3_STRESS!$BX$2:$BX$42,$A17+1)))))</f>
        <v/>
      </c>
      <c r="N17" s="47">
        <f>IF(Tables!$B$13+$A17&gt;Tables!$B$18,"",IF('3. Year by Year'!$B$3="Smooth",IF('2. Results'!$C$35="Both claim at 62",INDEX(ENG_S1_BASE!$BY$2:$BY$42,$A17+1),IF('2. Results'!$C$35="Both claim at 67",INDEX(ENG_S2_BASE!$BY$2:$BY$42,$A17+1),INDEX(ENG_S3_BASE!$BY$2:$BY$42,$A17+1))),IF('2. Results'!$C$35="Both claim at 62",INDEX(ENG_S1_STRESS!$BY$2:$BY$42,$A17+1),IF('2. Results'!$C$35="Both claim at 67",INDEX(ENG_S2_STRESS!$BY$2:$BY$42,$A17+1),INDEX(ENG_S3_STRESS!$BY$2:$BY$42,$A17+1)))))</f>
        <v/>
      </c>
      <c r="O17" s="47">
        <f>IF(Tables!$B$13+$A17&gt;Tables!$B$18,"",IF('3. Year by Year'!$B$3="Smooth",IF('2. Results'!$C$35="Both claim at 62",INDEX(ENG_S1_BASE!$BZ$2:$BZ$42,$A17+1),IF('2. Results'!$C$35="Both claim at 67",INDEX(ENG_S2_BASE!$BZ$2:$BZ$42,$A17+1),INDEX(ENG_S3_BASE!$BZ$2:$BZ$42,$A17+1))),IF('2. Results'!$C$35="Both claim at 62",INDEX(ENG_S1_STRESS!$BZ$2:$BZ$42,$A17+1),IF('2. Results'!$C$35="Both claim at 67",INDEX(ENG_S2_STRESS!$BZ$2:$BZ$42,$A17+1),INDEX(ENG_S3_STRESS!$BZ$2:$BZ$42,$A17+1)))))</f>
        <v/>
      </c>
      <c r="P17" s="47">
        <f>IF(Tables!$B$13+$A17&gt;Tables!$B$18,"",IF('3. Year by Year'!$B$3="Smooth",IF('2. Results'!$C$35="Both claim at 62",INDEX(ENG_S1_BASE!$CA$2:$CA$42,$A17+1),IF('2. Results'!$C$35="Both claim at 67",INDEX(ENG_S2_BASE!$CA$2:$CA$42,$A17+1),INDEX(ENG_S3_BASE!$CA$2:$CA$42,$A17+1))),IF('2. Results'!$C$35="Both claim at 62",INDEX(ENG_S1_STRESS!$CA$2:$CA$42,$A17+1),IF('2. Results'!$C$35="Both claim at 67",INDEX(ENG_S2_STRESS!$CA$2:$CA$42,$A17+1),INDEX(ENG_S3_STRESS!$CA$2:$CA$42,$A17+1)))))</f>
        <v/>
      </c>
      <c r="Q17" s="47">
        <f>IF(Tables!$B$13+$A17&gt;Tables!$B$18,"",IF('3. Year by Year'!$B$3="Smooth",IF('2. Results'!$C$35="Both claim at 62",INDEX(ENG_S1_BASE!$CB$2:$CB$42,$A17+1),IF('2. Results'!$C$35="Both claim at 67",INDEX(ENG_S2_BASE!$CB$2:$CB$42,$A17+1),INDEX(ENG_S3_BASE!$CB$2:$CB$42,$A17+1))),IF('2. Results'!$C$35="Both claim at 62",INDEX(ENG_S1_STRESS!$CB$2:$CB$42,$A17+1),IF('2. Results'!$C$35="Both claim at 67",INDEX(ENG_S2_STRESS!$CB$2:$CB$42,$A17+1),INDEX(ENG_S3_STRESS!$CB$2:$CB$42,$A17+1)))))</f>
        <v/>
      </c>
      <c r="R17" s="47">
        <f>IF(Tables!$B$13+$A17&gt;Tables!$B$18,"",IF('3. Year by Year'!$B$3="Smooth",IF('2. Results'!$C$35="Both claim at 62",INDEX(ENG_S1_BASE!$CC$2:$CC$42,$A17+1),IF('2. Results'!$C$35="Both claim at 67",INDEX(ENG_S2_BASE!$CC$2:$CC$42,$A17+1),INDEX(ENG_S3_BASE!$CC$2:$CC$42,$A17+1))),IF('2. Results'!$C$35="Both claim at 62",INDEX(ENG_S1_STRESS!$CC$2:$CC$42,$A17+1),IF('2. Results'!$C$35="Both claim at 67",INDEX(ENG_S2_STRESS!$CC$2:$CC$42,$A17+1),INDEX(ENG_S3_STRESS!$CC$2:$CC$42,$A17+1)))))</f>
        <v/>
      </c>
    </row>
    <row r="18">
      <c r="A18" s="43" t="n">
        <v>12</v>
      </c>
      <c r="B18" s="51">
        <f>IF(Tables!$B$13+$A18&gt;Tables!$B$18,"",Tables!$B$14+$A18)</f>
        <v/>
      </c>
      <c r="C18" s="51">
        <f>IF(Tables!$B$13+$A18&gt;Tables!$B$18,"",Tables!$B$13+$A18)</f>
        <v/>
      </c>
      <c r="D18" s="55">
        <f>IF(Tables!$B$13+$A18&gt;Tables!$B$18,"",IF('3. Year by Year'!$B$3="Smooth",IF('2. Results'!$C$35="Both claim at 62",INDEX(ENG_S1_BASE!$D$2:$D$42,$A18+1),IF('2. Results'!$C$35="Both claim at 67",INDEX(ENG_S2_BASE!$D$2:$D$42,$A18+1),INDEX(ENG_S3_BASE!$D$2:$D$42,$A18+1))),IF('2. Results'!$C$35="Both claim at 62",INDEX(ENG_S1_STRESS!$D$2:$D$42,$A18+1),IF('2. Results'!$C$35="Both claim at 67",INDEX(ENG_S2_STRESS!$D$2:$D$42,$A18+1),INDEX(ENG_S3_STRESS!$D$2:$D$42,$A18+1)))))</f>
        <v/>
      </c>
      <c r="E18" s="50">
        <f>IF(Tables!$B$13+$A18&gt;Tables!$B$18,"",IF('3. Year by Year'!$B$3="Smooth",IF('2. Results'!$C$35="Both claim at 62",INDEX(ENG_S1_BASE!$G$2:$G$42,$A18+1),IF('2. Results'!$C$35="Both claim at 67",INDEX(ENG_S2_BASE!$G$2:$G$42,$A18+1),INDEX(ENG_S3_BASE!$G$2:$G$42,$A18+1))),IF('2. Results'!$C$35="Both claim at 62",INDEX(ENG_S1_STRESS!$G$2:$G$42,$A18+1),IF('2. Results'!$C$35="Both claim at 67",INDEX(ENG_S2_STRESS!$G$2:$G$42,$A18+1),INDEX(ENG_S3_STRESS!$G$2:$G$42,$A18+1)))))</f>
        <v/>
      </c>
      <c r="F18" s="50">
        <f>IF(Tables!$B$13+$A18&gt;Tables!$B$18,"",IF('3. Year by Year'!$B$3="Smooth",IF('2. Results'!$C$35="Both claim at 62",INDEX(ENG_S1_BASE!$H$2:$H$42,$A18+1),IF('2. Results'!$C$35="Both claim at 67",INDEX(ENG_S2_BASE!$H$2:$H$42,$A18+1),INDEX(ENG_S3_BASE!$H$2:$H$42,$A18+1))),IF('2. Results'!$C$35="Both claim at 62",INDEX(ENG_S1_STRESS!$H$2:$H$42,$A18+1),IF('2. Results'!$C$35="Both claim at 67",INDEX(ENG_S2_STRESS!$H$2:$H$42,$A18+1),INDEX(ENG_S3_STRESS!$H$2:$H$42,$A18+1)))))</f>
        <v/>
      </c>
      <c r="G18" s="50">
        <f>IF(Tables!$B$13+$A18&gt;Tables!$B$18,"",IF('3. Year by Year'!$B$3="Smooth",IF('2. Results'!$C$35="Both claim at 62",INDEX(ENG_S1_BASE!$L$2:$L$42,$A18+1),IF('2. Results'!$C$35="Both claim at 67",INDEX(ENG_S2_BASE!$L$2:$L$42,$A18+1),INDEX(ENG_S3_BASE!$L$2:$L$42,$A18+1))),IF('2. Results'!$C$35="Both claim at 62",INDEX(ENG_S1_STRESS!$L$2:$L$42,$A18+1),IF('2. Results'!$C$35="Both claim at 67",INDEX(ENG_S2_STRESS!$L$2:$L$42,$A18+1),INDEX(ENG_S3_STRESS!$L$2:$L$42,$A18+1)))))</f>
        <v/>
      </c>
      <c r="H18" s="50">
        <f>IF(Tables!$B$13+$A18&gt;Tables!$B$18,"",IF('3. Year by Year'!$B$3="Smooth",IF('2. Results'!$C$35="Both claim at 62",INDEX(ENG_S1_BASE!$BQ$2:$BQ$42,$A18+1),IF('2. Results'!$C$35="Both claim at 67",INDEX(ENG_S2_BASE!$BQ$2:$BQ$42,$A18+1),INDEX(ENG_S3_BASE!$BQ$2:$BQ$42,$A18+1))),IF('2. Results'!$C$35="Both claim at 62",INDEX(ENG_S1_STRESS!$BQ$2:$BQ$42,$A18+1),IF('2. Results'!$C$35="Both claim at 67",INDEX(ENG_S2_STRESS!$BQ$2:$BQ$42,$A18+1),INDEX(ENG_S3_STRESS!$BQ$2:$BQ$42,$A18+1)))))</f>
        <v/>
      </c>
      <c r="I18" s="50">
        <f>IF(Tables!$B$13+$A18&gt;Tables!$B$18,"",IF('3. Year by Year'!$B$3="Smooth",IF('2. Results'!$C$35="Both claim at 62",INDEX(ENG_S1_BASE!$Q$2:$Q$42,$A18+1),IF('2. Results'!$C$35="Both claim at 67",INDEX(ENG_S2_BASE!$Q$2:$Q$42,$A18+1),INDEX(ENG_S3_BASE!$Q$2:$Q$42,$A18+1))),IF('2. Results'!$C$35="Both claim at 62",INDEX(ENG_S1_STRESS!$Q$2:$Q$42,$A18+1),IF('2. Results'!$C$35="Both claim at 67",INDEX(ENG_S2_STRESS!$Q$2:$Q$42,$A18+1),INDEX(ENG_S3_STRESS!$Q$2:$Q$42,$A18+1)))))</f>
        <v/>
      </c>
      <c r="J18" s="50">
        <f>IF(Tables!$B$13+$A18&gt;Tables!$B$18,"",IF('3. Year by Year'!$B$3="Smooth",IF('2. Results'!$C$35="Both claim at 62",INDEX(ENG_S1_BASE!$BV$2:$BV$42,$A18+1),IF('2. Results'!$C$35="Both claim at 67",INDEX(ENG_S2_BASE!$BV$2:$BV$42,$A18+1),INDEX(ENG_S3_BASE!$BV$2:$BV$42,$A18+1))),IF('2. Results'!$C$35="Both claim at 62",INDEX(ENG_S1_STRESS!$BV$2:$BV$42,$A18+1),IF('2. Results'!$C$35="Both claim at 67",INDEX(ENG_S2_STRESS!$BV$2:$BV$42,$A18+1),INDEX(ENG_S3_STRESS!$BV$2:$BV$42,$A18+1)))))</f>
        <v/>
      </c>
      <c r="K18" s="50">
        <f>IF(Tables!$B$13+$A18&gt;Tables!$B$18,"",IF('3. Year by Year'!$B$3="Smooth",IF('2. Results'!$C$35="Both claim at 62",INDEX(ENG_S1_BASE!$BR$2:$BR$42,$A18+1),IF('2. Results'!$C$35="Both claim at 67",INDEX(ENG_S2_BASE!$BR$2:$BR$42,$A18+1),INDEX(ENG_S3_BASE!$BR$2:$BR$42,$A18+1))),IF('2. Results'!$C$35="Both claim at 62",INDEX(ENG_S1_STRESS!$BR$2:$BR$42,$A18+1),IF('2. Results'!$C$35="Both claim at 67",INDEX(ENG_S2_STRESS!$BR$2:$BR$42,$A18+1),INDEX(ENG_S3_STRESS!$BR$2:$BR$42,$A18+1)))))</f>
        <v/>
      </c>
      <c r="L18" s="50">
        <f>IF(Tables!$B$13+$A18&gt;Tables!$B$18,"",IF('3. Year by Year'!$B$3="Smooth",IF('2. Results'!$C$35="Both claim at 62",INDEX(ENG_S1_BASE!$BT$2:$BT$42,$A18+1),IF('2. Results'!$C$35="Both claim at 67",INDEX(ENG_S2_BASE!$BT$2:$BT$42,$A18+1),INDEX(ENG_S3_BASE!$BT$2:$BT$42,$A18+1))),IF('2. Results'!$C$35="Both claim at 62",INDEX(ENG_S1_STRESS!$BT$2:$BT$42,$A18+1),IF('2. Results'!$C$35="Both claim at 67",INDEX(ENG_S2_STRESS!$BT$2:$BT$42,$A18+1),INDEX(ENG_S3_STRESS!$BT$2:$BT$42,$A18+1)))))</f>
        <v/>
      </c>
      <c r="M18" s="50">
        <f>IF(Tables!$B$13+$A18&gt;Tables!$B$18,"",IF('3. Year by Year'!$B$3="Smooth",IF('2. Results'!$C$35="Both claim at 62",INDEX(ENG_S1_BASE!$BX$2:$BX$42,$A18+1),IF('2. Results'!$C$35="Both claim at 67",INDEX(ENG_S2_BASE!$BX$2:$BX$42,$A18+1),INDEX(ENG_S3_BASE!$BX$2:$BX$42,$A18+1))),IF('2. Results'!$C$35="Both claim at 62",INDEX(ENG_S1_STRESS!$BX$2:$BX$42,$A18+1),IF('2. Results'!$C$35="Both claim at 67",INDEX(ENG_S2_STRESS!$BX$2:$BX$42,$A18+1),INDEX(ENG_S3_STRESS!$BX$2:$BX$42,$A18+1)))))</f>
        <v/>
      </c>
      <c r="N18" s="50">
        <f>IF(Tables!$B$13+$A18&gt;Tables!$B$18,"",IF('3. Year by Year'!$B$3="Smooth",IF('2. Results'!$C$35="Both claim at 62",INDEX(ENG_S1_BASE!$BY$2:$BY$42,$A18+1),IF('2. Results'!$C$35="Both claim at 67",INDEX(ENG_S2_BASE!$BY$2:$BY$42,$A18+1),INDEX(ENG_S3_BASE!$BY$2:$BY$42,$A18+1))),IF('2. Results'!$C$35="Both claim at 62",INDEX(ENG_S1_STRESS!$BY$2:$BY$42,$A18+1),IF('2. Results'!$C$35="Both claim at 67",INDEX(ENG_S2_STRESS!$BY$2:$BY$42,$A18+1),INDEX(ENG_S3_STRESS!$BY$2:$BY$42,$A18+1)))))</f>
        <v/>
      </c>
      <c r="O18" s="50">
        <f>IF(Tables!$B$13+$A18&gt;Tables!$B$18,"",IF('3. Year by Year'!$B$3="Smooth",IF('2. Results'!$C$35="Both claim at 62",INDEX(ENG_S1_BASE!$BZ$2:$BZ$42,$A18+1),IF('2. Results'!$C$35="Both claim at 67",INDEX(ENG_S2_BASE!$BZ$2:$BZ$42,$A18+1),INDEX(ENG_S3_BASE!$BZ$2:$BZ$42,$A18+1))),IF('2. Results'!$C$35="Both claim at 62",INDEX(ENG_S1_STRESS!$BZ$2:$BZ$42,$A18+1),IF('2. Results'!$C$35="Both claim at 67",INDEX(ENG_S2_STRESS!$BZ$2:$BZ$42,$A18+1),INDEX(ENG_S3_STRESS!$BZ$2:$BZ$42,$A18+1)))))</f>
        <v/>
      </c>
      <c r="P18" s="50">
        <f>IF(Tables!$B$13+$A18&gt;Tables!$B$18,"",IF('3. Year by Year'!$B$3="Smooth",IF('2. Results'!$C$35="Both claim at 62",INDEX(ENG_S1_BASE!$CA$2:$CA$42,$A18+1),IF('2. Results'!$C$35="Both claim at 67",INDEX(ENG_S2_BASE!$CA$2:$CA$42,$A18+1),INDEX(ENG_S3_BASE!$CA$2:$CA$42,$A18+1))),IF('2. Results'!$C$35="Both claim at 62",INDEX(ENG_S1_STRESS!$CA$2:$CA$42,$A18+1),IF('2. Results'!$C$35="Both claim at 67",INDEX(ENG_S2_STRESS!$CA$2:$CA$42,$A18+1),INDEX(ENG_S3_STRESS!$CA$2:$CA$42,$A18+1)))))</f>
        <v/>
      </c>
      <c r="Q18" s="50">
        <f>IF(Tables!$B$13+$A18&gt;Tables!$B$18,"",IF('3. Year by Year'!$B$3="Smooth",IF('2. Results'!$C$35="Both claim at 62",INDEX(ENG_S1_BASE!$CB$2:$CB$42,$A18+1),IF('2. Results'!$C$35="Both claim at 67",INDEX(ENG_S2_BASE!$CB$2:$CB$42,$A18+1),INDEX(ENG_S3_BASE!$CB$2:$CB$42,$A18+1))),IF('2. Results'!$C$35="Both claim at 62",INDEX(ENG_S1_STRESS!$CB$2:$CB$42,$A18+1),IF('2. Results'!$C$35="Both claim at 67",INDEX(ENG_S2_STRESS!$CB$2:$CB$42,$A18+1),INDEX(ENG_S3_STRESS!$CB$2:$CB$42,$A18+1)))))</f>
        <v/>
      </c>
      <c r="R18" s="50">
        <f>IF(Tables!$B$13+$A18&gt;Tables!$B$18,"",IF('3. Year by Year'!$B$3="Smooth",IF('2. Results'!$C$35="Both claim at 62",INDEX(ENG_S1_BASE!$CC$2:$CC$42,$A18+1),IF('2. Results'!$C$35="Both claim at 67",INDEX(ENG_S2_BASE!$CC$2:$CC$42,$A18+1),INDEX(ENG_S3_BASE!$CC$2:$CC$42,$A18+1))),IF('2. Results'!$C$35="Both claim at 62",INDEX(ENG_S1_STRESS!$CC$2:$CC$42,$A18+1),IF('2. Results'!$C$35="Both claim at 67",INDEX(ENG_S2_STRESS!$CC$2:$CC$42,$A18+1),INDEX(ENG_S3_STRESS!$CC$2:$CC$42,$A18+1)))))</f>
        <v/>
      </c>
    </row>
    <row r="19">
      <c r="A19" s="43" t="n">
        <v>13</v>
      </c>
      <c r="B19" s="48">
        <f>IF(Tables!$B$13+$A19&gt;Tables!$B$18,"",Tables!$B$14+$A19)</f>
        <v/>
      </c>
      <c r="C19" s="48">
        <f>IF(Tables!$B$13+$A19&gt;Tables!$B$18,"",Tables!$B$13+$A19)</f>
        <v/>
      </c>
      <c r="D19" s="56">
        <f>IF(Tables!$B$13+$A19&gt;Tables!$B$18,"",IF('3. Year by Year'!$B$3="Smooth",IF('2. Results'!$C$35="Both claim at 62",INDEX(ENG_S1_BASE!$D$2:$D$42,$A19+1),IF('2. Results'!$C$35="Both claim at 67",INDEX(ENG_S2_BASE!$D$2:$D$42,$A19+1),INDEX(ENG_S3_BASE!$D$2:$D$42,$A19+1))),IF('2. Results'!$C$35="Both claim at 62",INDEX(ENG_S1_STRESS!$D$2:$D$42,$A19+1),IF('2. Results'!$C$35="Both claim at 67",INDEX(ENG_S2_STRESS!$D$2:$D$42,$A19+1),INDEX(ENG_S3_STRESS!$D$2:$D$42,$A19+1)))))</f>
        <v/>
      </c>
      <c r="E19" s="47">
        <f>IF(Tables!$B$13+$A19&gt;Tables!$B$18,"",IF('3. Year by Year'!$B$3="Smooth",IF('2. Results'!$C$35="Both claim at 62",INDEX(ENG_S1_BASE!$G$2:$G$42,$A19+1),IF('2. Results'!$C$35="Both claim at 67",INDEX(ENG_S2_BASE!$G$2:$G$42,$A19+1),INDEX(ENG_S3_BASE!$G$2:$G$42,$A19+1))),IF('2. Results'!$C$35="Both claim at 62",INDEX(ENG_S1_STRESS!$G$2:$G$42,$A19+1),IF('2. Results'!$C$35="Both claim at 67",INDEX(ENG_S2_STRESS!$G$2:$G$42,$A19+1),INDEX(ENG_S3_STRESS!$G$2:$G$42,$A19+1)))))</f>
        <v/>
      </c>
      <c r="F19" s="47">
        <f>IF(Tables!$B$13+$A19&gt;Tables!$B$18,"",IF('3. Year by Year'!$B$3="Smooth",IF('2. Results'!$C$35="Both claim at 62",INDEX(ENG_S1_BASE!$H$2:$H$42,$A19+1),IF('2. Results'!$C$35="Both claim at 67",INDEX(ENG_S2_BASE!$H$2:$H$42,$A19+1),INDEX(ENG_S3_BASE!$H$2:$H$42,$A19+1))),IF('2. Results'!$C$35="Both claim at 62",INDEX(ENG_S1_STRESS!$H$2:$H$42,$A19+1),IF('2. Results'!$C$35="Both claim at 67",INDEX(ENG_S2_STRESS!$H$2:$H$42,$A19+1),INDEX(ENG_S3_STRESS!$H$2:$H$42,$A19+1)))))</f>
        <v/>
      </c>
      <c r="G19" s="47">
        <f>IF(Tables!$B$13+$A19&gt;Tables!$B$18,"",IF('3. Year by Year'!$B$3="Smooth",IF('2. Results'!$C$35="Both claim at 62",INDEX(ENG_S1_BASE!$L$2:$L$42,$A19+1),IF('2. Results'!$C$35="Both claim at 67",INDEX(ENG_S2_BASE!$L$2:$L$42,$A19+1),INDEX(ENG_S3_BASE!$L$2:$L$42,$A19+1))),IF('2. Results'!$C$35="Both claim at 62",INDEX(ENG_S1_STRESS!$L$2:$L$42,$A19+1),IF('2. Results'!$C$35="Both claim at 67",INDEX(ENG_S2_STRESS!$L$2:$L$42,$A19+1),INDEX(ENG_S3_STRESS!$L$2:$L$42,$A19+1)))))</f>
        <v/>
      </c>
      <c r="H19" s="47">
        <f>IF(Tables!$B$13+$A19&gt;Tables!$B$18,"",IF('3. Year by Year'!$B$3="Smooth",IF('2. Results'!$C$35="Both claim at 62",INDEX(ENG_S1_BASE!$BQ$2:$BQ$42,$A19+1),IF('2. Results'!$C$35="Both claim at 67",INDEX(ENG_S2_BASE!$BQ$2:$BQ$42,$A19+1),INDEX(ENG_S3_BASE!$BQ$2:$BQ$42,$A19+1))),IF('2. Results'!$C$35="Both claim at 62",INDEX(ENG_S1_STRESS!$BQ$2:$BQ$42,$A19+1),IF('2. Results'!$C$35="Both claim at 67",INDEX(ENG_S2_STRESS!$BQ$2:$BQ$42,$A19+1),INDEX(ENG_S3_STRESS!$BQ$2:$BQ$42,$A19+1)))))</f>
        <v/>
      </c>
      <c r="I19" s="47">
        <f>IF(Tables!$B$13+$A19&gt;Tables!$B$18,"",IF('3. Year by Year'!$B$3="Smooth",IF('2. Results'!$C$35="Both claim at 62",INDEX(ENG_S1_BASE!$Q$2:$Q$42,$A19+1),IF('2. Results'!$C$35="Both claim at 67",INDEX(ENG_S2_BASE!$Q$2:$Q$42,$A19+1),INDEX(ENG_S3_BASE!$Q$2:$Q$42,$A19+1))),IF('2. Results'!$C$35="Both claim at 62",INDEX(ENG_S1_STRESS!$Q$2:$Q$42,$A19+1),IF('2. Results'!$C$35="Both claim at 67",INDEX(ENG_S2_STRESS!$Q$2:$Q$42,$A19+1),INDEX(ENG_S3_STRESS!$Q$2:$Q$42,$A19+1)))))</f>
        <v/>
      </c>
      <c r="J19" s="47">
        <f>IF(Tables!$B$13+$A19&gt;Tables!$B$18,"",IF('3. Year by Year'!$B$3="Smooth",IF('2. Results'!$C$35="Both claim at 62",INDEX(ENG_S1_BASE!$BV$2:$BV$42,$A19+1),IF('2. Results'!$C$35="Both claim at 67",INDEX(ENG_S2_BASE!$BV$2:$BV$42,$A19+1),INDEX(ENG_S3_BASE!$BV$2:$BV$42,$A19+1))),IF('2. Results'!$C$35="Both claim at 62",INDEX(ENG_S1_STRESS!$BV$2:$BV$42,$A19+1),IF('2. Results'!$C$35="Both claim at 67",INDEX(ENG_S2_STRESS!$BV$2:$BV$42,$A19+1),INDEX(ENG_S3_STRESS!$BV$2:$BV$42,$A19+1)))))</f>
        <v/>
      </c>
      <c r="K19" s="47">
        <f>IF(Tables!$B$13+$A19&gt;Tables!$B$18,"",IF('3. Year by Year'!$B$3="Smooth",IF('2. Results'!$C$35="Both claim at 62",INDEX(ENG_S1_BASE!$BR$2:$BR$42,$A19+1),IF('2. Results'!$C$35="Both claim at 67",INDEX(ENG_S2_BASE!$BR$2:$BR$42,$A19+1),INDEX(ENG_S3_BASE!$BR$2:$BR$42,$A19+1))),IF('2. Results'!$C$35="Both claim at 62",INDEX(ENG_S1_STRESS!$BR$2:$BR$42,$A19+1),IF('2. Results'!$C$35="Both claim at 67",INDEX(ENG_S2_STRESS!$BR$2:$BR$42,$A19+1),INDEX(ENG_S3_STRESS!$BR$2:$BR$42,$A19+1)))))</f>
        <v/>
      </c>
      <c r="L19" s="47">
        <f>IF(Tables!$B$13+$A19&gt;Tables!$B$18,"",IF('3. Year by Year'!$B$3="Smooth",IF('2. Results'!$C$35="Both claim at 62",INDEX(ENG_S1_BASE!$BT$2:$BT$42,$A19+1),IF('2. Results'!$C$35="Both claim at 67",INDEX(ENG_S2_BASE!$BT$2:$BT$42,$A19+1),INDEX(ENG_S3_BASE!$BT$2:$BT$42,$A19+1))),IF('2. Results'!$C$35="Both claim at 62",INDEX(ENG_S1_STRESS!$BT$2:$BT$42,$A19+1),IF('2. Results'!$C$35="Both claim at 67",INDEX(ENG_S2_STRESS!$BT$2:$BT$42,$A19+1),INDEX(ENG_S3_STRESS!$BT$2:$BT$42,$A19+1)))))</f>
        <v/>
      </c>
      <c r="M19" s="47">
        <f>IF(Tables!$B$13+$A19&gt;Tables!$B$18,"",IF('3. Year by Year'!$B$3="Smooth",IF('2. Results'!$C$35="Both claim at 62",INDEX(ENG_S1_BASE!$BX$2:$BX$42,$A19+1),IF('2. Results'!$C$35="Both claim at 67",INDEX(ENG_S2_BASE!$BX$2:$BX$42,$A19+1),INDEX(ENG_S3_BASE!$BX$2:$BX$42,$A19+1))),IF('2. Results'!$C$35="Both claim at 62",INDEX(ENG_S1_STRESS!$BX$2:$BX$42,$A19+1),IF('2. Results'!$C$35="Both claim at 67",INDEX(ENG_S2_STRESS!$BX$2:$BX$42,$A19+1),INDEX(ENG_S3_STRESS!$BX$2:$BX$42,$A19+1)))))</f>
        <v/>
      </c>
      <c r="N19" s="47">
        <f>IF(Tables!$B$13+$A19&gt;Tables!$B$18,"",IF('3. Year by Year'!$B$3="Smooth",IF('2. Results'!$C$35="Both claim at 62",INDEX(ENG_S1_BASE!$BY$2:$BY$42,$A19+1),IF('2. Results'!$C$35="Both claim at 67",INDEX(ENG_S2_BASE!$BY$2:$BY$42,$A19+1),INDEX(ENG_S3_BASE!$BY$2:$BY$42,$A19+1))),IF('2. Results'!$C$35="Both claim at 62",INDEX(ENG_S1_STRESS!$BY$2:$BY$42,$A19+1),IF('2. Results'!$C$35="Both claim at 67",INDEX(ENG_S2_STRESS!$BY$2:$BY$42,$A19+1),INDEX(ENG_S3_STRESS!$BY$2:$BY$42,$A19+1)))))</f>
        <v/>
      </c>
      <c r="O19" s="47">
        <f>IF(Tables!$B$13+$A19&gt;Tables!$B$18,"",IF('3. Year by Year'!$B$3="Smooth",IF('2. Results'!$C$35="Both claim at 62",INDEX(ENG_S1_BASE!$BZ$2:$BZ$42,$A19+1),IF('2. Results'!$C$35="Both claim at 67",INDEX(ENG_S2_BASE!$BZ$2:$BZ$42,$A19+1),INDEX(ENG_S3_BASE!$BZ$2:$BZ$42,$A19+1))),IF('2. Results'!$C$35="Both claim at 62",INDEX(ENG_S1_STRESS!$BZ$2:$BZ$42,$A19+1),IF('2. Results'!$C$35="Both claim at 67",INDEX(ENG_S2_STRESS!$BZ$2:$BZ$42,$A19+1),INDEX(ENG_S3_STRESS!$BZ$2:$BZ$42,$A19+1)))))</f>
        <v/>
      </c>
      <c r="P19" s="47">
        <f>IF(Tables!$B$13+$A19&gt;Tables!$B$18,"",IF('3. Year by Year'!$B$3="Smooth",IF('2. Results'!$C$35="Both claim at 62",INDEX(ENG_S1_BASE!$CA$2:$CA$42,$A19+1),IF('2. Results'!$C$35="Both claim at 67",INDEX(ENG_S2_BASE!$CA$2:$CA$42,$A19+1),INDEX(ENG_S3_BASE!$CA$2:$CA$42,$A19+1))),IF('2. Results'!$C$35="Both claim at 62",INDEX(ENG_S1_STRESS!$CA$2:$CA$42,$A19+1),IF('2. Results'!$C$35="Both claim at 67",INDEX(ENG_S2_STRESS!$CA$2:$CA$42,$A19+1),INDEX(ENG_S3_STRESS!$CA$2:$CA$42,$A19+1)))))</f>
        <v/>
      </c>
      <c r="Q19" s="47">
        <f>IF(Tables!$B$13+$A19&gt;Tables!$B$18,"",IF('3. Year by Year'!$B$3="Smooth",IF('2. Results'!$C$35="Both claim at 62",INDEX(ENG_S1_BASE!$CB$2:$CB$42,$A19+1),IF('2. Results'!$C$35="Both claim at 67",INDEX(ENG_S2_BASE!$CB$2:$CB$42,$A19+1),INDEX(ENG_S3_BASE!$CB$2:$CB$42,$A19+1))),IF('2. Results'!$C$35="Both claim at 62",INDEX(ENG_S1_STRESS!$CB$2:$CB$42,$A19+1),IF('2. Results'!$C$35="Both claim at 67",INDEX(ENG_S2_STRESS!$CB$2:$CB$42,$A19+1),INDEX(ENG_S3_STRESS!$CB$2:$CB$42,$A19+1)))))</f>
        <v/>
      </c>
      <c r="R19" s="47">
        <f>IF(Tables!$B$13+$A19&gt;Tables!$B$18,"",IF('3. Year by Year'!$B$3="Smooth",IF('2. Results'!$C$35="Both claim at 62",INDEX(ENG_S1_BASE!$CC$2:$CC$42,$A19+1),IF('2. Results'!$C$35="Both claim at 67",INDEX(ENG_S2_BASE!$CC$2:$CC$42,$A19+1),INDEX(ENG_S3_BASE!$CC$2:$CC$42,$A19+1))),IF('2. Results'!$C$35="Both claim at 62",INDEX(ENG_S1_STRESS!$CC$2:$CC$42,$A19+1),IF('2. Results'!$C$35="Both claim at 67",INDEX(ENG_S2_STRESS!$CC$2:$CC$42,$A19+1),INDEX(ENG_S3_STRESS!$CC$2:$CC$42,$A19+1)))))</f>
        <v/>
      </c>
    </row>
    <row r="20">
      <c r="A20" s="43" t="n">
        <v>14</v>
      </c>
      <c r="B20" s="51">
        <f>IF(Tables!$B$13+$A20&gt;Tables!$B$18,"",Tables!$B$14+$A20)</f>
        <v/>
      </c>
      <c r="C20" s="51">
        <f>IF(Tables!$B$13+$A20&gt;Tables!$B$18,"",Tables!$B$13+$A20)</f>
        <v/>
      </c>
      <c r="D20" s="55">
        <f>IF(Tables!$B$13+$A20&gt;Tables!$B$18,"",IF('3. Year by Year'!$B$3="Smooth",IF('2. Results'!$C$35="Both claim at 62",INDEX(ENG_S1_BASE!$D$2:$D$42,$A20+1),IF('2. Results'!$C$35="Both claim at 67",INDEX(ENG_S2_BASE!$D$2:$D$42,$A20+1),INDEX(ENG_S3_BASE!$D$2:$D$42,$A20+1))),IF('2. Results'!$C$35="Both claim at 62",INDEX(ENG_S1_STRESS!$D$2:$D$42,$A20+1),IF('2. Results'!$C$35="Both claim at 67",INDEX(ENG_S2_STRESS!$D$2:$D$42,$A20+1),INDEX(ENG_S3_STRESS!$D$2:$D$42,$A20+1)))))</f>
        <v/>
      </c>
      <c r="E20" s="50">
        <f>IF(Tables!$B$13+$A20&gt;Tables!$B$18,"",IF('3. Year by Year'!$B$3="Smooth",IF('2. Results'!$C$35="Both claim at 62",INDEX(ENG_S1_BASE!$G$2:$G$42,$A20+1),IF('2. Results'!$C$35="Both claim at 67",INDEX(ENG_S2_BASE!$G$2:$G$42,$A20+1),INDEX(ENG_S3_BASE!$G$2:$G$42,$A20+1))),IF('2. Results'!$C$35="Both claim at 62",INDEX(ENG_S1_STRESS!$G$2:$G$42,$A20+1),IF('2. Results'!$C$35="Both claim at 67",INDEX(ENG_S2_STRESS!$G$2:$G$42,$A20+1),INDEX(ENG_S3_STRESS!$G$2:$G$42,$A20+1)))))</f>
        <v/>
      </c>
      <c r="F20" s="50">
        <f>IF(Tables!$B$13+$A20&gt;Tables!$B$18,"",IF('3. Year by Year'!$B$3="Smooth",IF('2. Results'!$C$35="Both claim at 62",INDEX(ENG_S1_BASE!$H$2:$H$42,$A20+1),IF('2. Results'!$C$35="Both claim at 67",INDEX(ENG_S2_BASE!$H$2:$H$42,$A20+1),INDEX(ENG_S3_BASE!$H$2:$H$42,$A20+1))),IF('2. Results'!$C$35="Both claim at 62",INDEX(ENG_S1_STRESS!$H$2:$H$42,$A20+1),IF('2. Results'!$C$35="Both claim at 67",INDEX(ENG_S2_STRESS!$H$2:$H$42,$A20+1),INDEX(ENG_S3_STRESS!$H$2:$H$42,$A20+1)))))</f>
        <v/>
      </c>
      <c r="G20" s="50">
        <f>IF(Tables!$B$13+$A20&gt;Tables!$B$18,"",IF('3. Year by Year'!$B$3="Smooth",IF('2. Results'!$C$35="Both claim at 62",INDEX(ENG_S1_BASE!$L$2:$L$42,$A20+1),IF('2. Results'!$C$35="Both claim at 67",INDEX(ENG_S2_BASE!$L$2:$L$42,$A20+1),INDEX(ENG_S3_BASE!$L$2:$L$42,$A20+1))),IF('2. Results'!$C$35="Both claim at 62",INDEX(ENG_S1_STRESS!$L$2:$L$42,$A20+1),IF('2. Results'!$C$35="Both claim at 67",INDEX(ENG_S2_STRESS!$L$2:$L$42,$A20+1),INDEX(ENG_S3_STRESS!$L$2:$L$42,$A20+1)))))</f>
        <v/>
      </c>
      <c r="H20" s="50">
        <f>IF(Tables!$B$13+$A20&gt;Tables!$B$18,"",IF('3. Year by Year'!$B$3="Smooth",IF('2. Results'!$C$35="Both claim at 62",INDEX(ENG_S1_BASE!$BQ$2:$BQ$42,$A20+1),IF('2. Results'!$C$35="Both claim at 67",INDEX(ENG_S2_BASE!$BQ$2:$BQ$42,$A20+1),INDEX(ENG_S3_BASE!$BQ$2:$BQ$42,$A20+1))),IF('2. Results'!$C$35="Both claim at 62",INDEX(ENG_S1_STRESS!$BQ$2:$BQ$42,$A20+1),IF('2. Results'!$C$35="Both claim at 67",INDEX(ENG_S2_STRESS!$BQ$2:$BQ$42,$A20+1),INDEX(ENG_S3_STRESS!$BQ$2:$BQ$42,$A20+1)))))</f>
        <v/>
      </c>
      <c r="I20" s="50">
        <f>IF(Tables!$B$13+$A20&gt;Tables!$B$18,"",IF('3. Year by Year'!$B$3="Smooth",IF('2. Results'!$C$35="Both claim at 62",INDEX(ENG_S1_BASE!$Q$2:$Q$42,$A20+1),IF('2. Results'!$C$35="Both claim at 67",INDEX(ENG_S2_BASE!$Q$2:$Q$42,$A20+1),INDEX(ENG_S3_BASE!$Q$2:$Q$42,$A20+1))),IF('2. Results'!$C$35="Both claim at 62",INDEX(ENG_S1_STRESS!$Q$2:$Q$42,$A20+1),IF('2. Results'!$C$35="Both claim at 67",INDEX(ENG_S2_STRESS!$Q$2:$Q$42,$A20+1),INDEX(ENG_S3_STRESS!$Q$2:$Q$42,$A20+1)))))</f>
        <v/>
      </c>
      <c r="J20" s="50">
        <f>IF(Tables!$B$13+$A20&gt;Tables!$B$18,"",IF('3. Year by Year'!$B$3="Smooth",IF('2. Results'!$C$35="Both claim at 62",INDEX(ENG_S1_BASE!$BV$2:$BV$42,$A20+1),IF('2. Results'!$C$35="Both claim at 67",INDEX(ENG_S2_BASE!$BV$2:$BV$42,$A20+1),INDEX(ENG_S3_BASE!$BV$2:$BV$42,$A20+1))),IF('2. Results'!$C$35="Both claim at 62",INDEX(ENG_S1_STRESS!$BV$2:$BV$42,$A20+1),IF('2. Results'!$C$35="Both claim at 67",INDEX(ENG_S2_STRESS!$BV$2:$BV$42,$A20+1),INDEX(ENG_S3_STRESS!$BV$2:$BV$42,$A20+1)))))</f>
        <v/>
      </c>
      <c r="K20" s="50">
        <f>IF(Tables!$B$13+$A20&gt;Tables!$B$18,"",IF('3. Year by Year'!$B$3="Smooth",IF('2. Results'!$C$35="Both claim at 62",INDEX(ENG_S1_BASE!$BR$2:$BR$42,$A20+1),IF('2. Results'!$C$35="Both claim at 67",INDEX(ENG_S2_BASE!$BR$2:$BR$42,$A20+1),INDEX(ENG_S3_BASE!$BR$2:$BR$42,$A20+1))),IF('2. Results'!$C$35="Both claim at 62",INDEX(ENG_S1_STRESS!$BR$2:$BR$42,$A20+1),IF('2. Results'!$C$35="Both claim at 67",INDEX(ENG_S2_STRESS!$BR$2:$BR$42,$A20+1),INDEX(ENG_S3_STRESS!$BR$2:$BR$42,$A20+1)))))</f>
        <v/>
      </c>
      <c r="L20" s="50">
        <f>IF(Tables!$B$13+$A20&gt;Tables!$B$18,"",IF('3. Year by Year'!$B$3="Smooth",IF('2. Results'!$C$35="Both claim at 62",INDEX(ENG_S1_BASE!$BT$2:$BT$42,$A20+1),IF('2. Results'!$C$35="Both claim at 67",INDEX(ENG_S2_BASE!$BT$2:$BT$42,$A20+1),INDEX(ENG_S3_BASE!$BT$2:$BT$42,$A20+1))),IF('2. Results'!$C$35="Both claim at 62",INDEX(ENG_S1_STRESS!$BT$2:$BT$42,$A20+1),IF('2. Results'!$C$35="Both claim at 67",INDEX(ENG_S2_STRESS!$BT$2:$BT$42,$A20+1),INDEX(ENG_S3_STRESS!$BT$2:$BT$42,$A20+1)))))</f>
        <v/>
      </c>
      <c r="M20" s="50">
        <f>IF(Tables!$B$13+$A20&gt;Tables!$B$18,"",IF('3. Year by Year'!$B$3="Smooth",IF('2. Results'!$C$35="Both claim at 62",INDEX(ENG_S1_BASE!$BX$2:$BX$42,$A20+1),IF('2. Results'!$C$35="Both claim at 67",INDEX(ENG_S2_BASE!$BX$2:$BX$42,$A20+1),INDEX(ENG_S3_BASE!$BX$2:$BX$42,$A20+1))),IF('2. Results'!$C$35="Both claim at 62",INDEX(ENG_S1_STRESS!$BX$2:$BX$42,$A20+1),IF('2. Results'!$C$35="Both claim at 67",INDEX(ENG_S2_STRESS!$BX$2:$BX$42,$A20+1),INDEX(ENG_S3_STRESS!$BX$2:$BX$42,$A20+1)))))</f>
        <v/>
      </c>
      <c r="N20" s="50">
        <f>IF(Tables!$B$13+$A20&gt;Tables!$B$18,"",IF('3. Year by Year'!$B$3="Smooth",IF('2. Results'!$C$35="Both claim at 62",INDEX(ENG_S1_BASE!$BY$2:$BY$42,$A20+1),IF('2. Results'!$C$35="Both claim at 67",INDEX(ENG_S2_BASE!$BY$2:$BY$42,$A20+1),INDEX(ENG_S3_BASE!$BY$2:$BY$42,$A20+1))),IF('2. Results'!$C$35="Both claim at 62",INDEX(ENG_S1_STRESS!$BY$2:$BY$42,$A20+1),IF('2. Results'!$C$35="Both claim at 67",INDEX(ENG_S2_STRESS!$BY$2:$BY$42,$A20+1),INDEX(ENG_S3_STRESS!$BY$2:$BY$42,$A20+1)))))</f>
        <v/>
      </c>
      <c r="O20" s="50">
        <f>IF(Tables!$B$13+$A20&gt;Tables!$B$18,"",IF('3. Year by Year'!$B$3="Smooth",IF('2. Results'!$C$35="Both claim at 62",INDEX(ENG_S1_BASE!$BZ$2:$BZ$42,$A20+1),IF('2. Results'!$C$35="Both claim at 67",INDEX(ENG_S2_BASE!$BZ$2:$BZ$42,$A20+1),INDEX(ENG_S3_BASE!$BZ$2:$BZ$42,$A20+1))),IF('2. Results'!$C$35="Both claim at 62",INDEX(ENG_S1_STRESS!$BZ$2:$BZ$42,$A20+1),IF('2. Results'!$C$35="Both claim at 67",INDEX(ENG_S2_STRESS!$BZ$2:$BZ$42,$A20+1),INDEX(ENG_S3_STRESS!$BZ$2:$BZ$42,$A20+1)))))</f>
        <v/>
      </c>
      <c r="P20" s="50">
        <f>IF(Tables!$B$13+$A20&gt;Tables!$B$18,"",IF('3. Year by Year'!$B$3="Smooth",IF('2. Results'!$C$35="Both claim at 62",INDEX(ENG_S1_BASE!$CA$2:$CA$42,$A20+1),IF('2. Results'!$C$35="Both claim at 67",INDEX(ENG_S2_BASE!$CA$2:$CA$42,$A20+1),INDEX(ENG_S3_BASE!$CA$2:$CA$42,$A20+1))),IF('2. Results'!$C$35="Both claim at 62",INDEX(ENG_S1_STRESS!$CA$2:$CA$42,$A20+1),IF('2. Results'!$C$35="Both claim at 67",INDEX(ENG_S2_STRESS!$CA$2:$CA$42,$A20+1),INDEX(ENG_S3_STRESS!$CA$2:$CA$42,$A20+1)))))</f>
        <v/>
      </c>
      <c r="Q20" s="50">
        <f>IF(Tables!$B$13+$A20&gt;Tables!$B$18,"",IF('3. Year by Year'!$B$3="Smooth",IF('2. Results'!$C$35="Both claim at 62",INDEX(ENG_S1_BASE!$CB$2:$CB$42,$A20+1),IF('2. Results'!$C$35="Both claim at 67",INDEX(ENG_S2_BASE!$CB$2:$CB$42,$A20+1),INDEX(ENG_S3_BASE!$CB$2:$CB$42,$A20+1))),IF('2. Results'!$C$35="Both claim at 62",INDEX(ENG_S1_STRESS!$CB$2:$CB$42,$A20+1),IF('2. Results'!$C$35="Both claim at 67",INDEX(ENG_S2_STRESS!$CB$2:$CB$42,$A20+1),INDEX(ENG_S3_STRESS!$CB$2:$CB$42,$A20+1)))))</f>
        <v/>
      </c>
      <c r="R20" s="50">
        <f>IF(Tables!$B$13+$A20&gt;Tables!$B$18,"",IF('3. Year by Year'!$B$3="Smooth",IF('2. Results'!$C$35="Both claim at 62",INDEX(ENG_S1_BASE!$CC$2:$CC$42,$A20+1),IF('2. Results'!$C$35="Both claim at 67",INDEX(ENG_S2_BASE!$CC$2:$CC$42,$A20+1),INDEX(ENG_S3_BASE!$CC$2:$CC$42,$A20+1))),IF('2. Results'!$C$35="Both claim at 62",INDEX(ENG_S1_STRESS!$CC$2:$CC$42,$A20+1),IF('2. Results'!$C$35="Both claim at 67",INDEX(ENG_S2_STRESS!$CC$2:$CC$42,$A20+1),INDEX(ENG_S3_STRESS!$CC$2:$CC$42,$A20+1)))))</f>
        <v/>
      </c>
    </row>
    <row r="21">
      <c r="A21" s="43" t="n">
        <v>15</v>
      </c>
      <c r="B21" s="48">
        <f>IF(Tables!$B$13+$A21&gt;Tables!$B$18,"",Tables!$B$14+$A21)</f>
        <v/>
      </c>
      <c r="C21" s="48">
        <f>IF(Tables!$B$13+$A21&gt;Tables!$B$18,"",Tables!$B$13+$A21)</f>
        <v/>
      </c>
      <c r="D21" s="56">
        <f>IF(Tables!$B$13+$A21&gt;Tables!$B$18,"",IF('3. Year by Year'!$B$3="Smooth",IF('2. Results'!$C$35="Both claim at 62",INDEX(ENG_S1_BASE!$D$2:$D$42,$A21+1),IF('2. Results'!$C$35="Both claim at 67",INDEX(ENG_S2_BASE!$D$2:$D$42,$A21+1),INDEX(ENG_S3_BASE!$D$2:$D$42,$A21+1))),IF('2. Results'!$C$35="Both claim at 62",INDEX(ENG_S1_STRESS!$D$2:$D$42,$A21+1),IF('2. Results'!$C$35="Both claim at 67",INDEX(ENG_S2_STRESS!$D$2:$D$42,$A21+1),INDEX(ENG_S3_STRESS!$D$2:$D$42,$A21+1)))))</f>
        <v/>
      </c>
      <c r="E21" s="47">
        <f>IF(Tables!$B$13+$A21&gt;Tables!$B$18,"",IF('3. Year by Year'!$B$3="Smooth",IF('2. Results'!$C$35="Both claim at 62",INDEX(ENG_S1_BASE!$G$2:$G$42,$A21+1),IF('2. Results'!$C$35="Both claim at 67",INDEX(ENG_S2_BASE!$G$2:$G$42,$A21+1),INDEX(ENG_S3_BASE!$G$2:$G$42,$A21+1))),IF('2. Results'!$C$35="Both claim at 62",INDEX(ENG_S1_STRESS!$G$2:$G$42,$A21+1),IF('2. Results'!$C$35="Both claim at 67",INDEX(ENG_S2_STRESS!$G$2:$G$42,$A21+1),INDEX(ENG_S3_STRESS!$G$2:$G$42,$A21+1)))))</f>
        <v/>
      </c>
      <c r="F21" s="47">
        <f>IF(Tables!$B$13+$A21&gt;Tables!$B$18,"",IF('3. Year by Year'!$B$3="Smooth",IF('2. Results'!$C$35="Both claim at 62",INDEX(ENG_S1_BASE!$H$2:$H$42,$A21+1),IF('2. Results'!$C$35="Both claim at 67",INDEX(ENG_S2_BASE!$H$2:$H$42,$A21+1),INDEX(ENG_S3_BASE!$H$2:$H$42,$A21+1))),IF('2. Results'!$C$35="Both claim at 62",INDEX(ENG_S1_STRESS!$H$2:$H$42,$A21+1),IF('2. Results'!$C$35="Both claim at 67",INDEX(ENG_S2_STRESS!$H$2:$H$42,$A21+1),INDEX(ENG_S3_STRESS!$H$2:$H$42,$A21+1)))))</f>
        <v/>
      </c>
      <c r="G21" s="47">
        <f>IF(Tables!$B$13+$A21&gt;Tables!$B$18,"",IF('3. Year by Year'!$B$3="Smooth",IF('2. Results'!$C$35="Both claim at 62",INDEX(ENG_S1_BASE!$L$2:$L$42,$A21+1),IF('2. Results'!$C$35="Both claim at 67",INDEX(ENG_S2_BASE!$L$2:$L$42,$A21+1),INDEX(ENG_S3_BASE!$L$2:$L$42,$A21+1))),IF('2. Results'!$C$35="Both claim at 62",INDEX(ENG_S1_STRESS!$L$2:$L$42,$A21+1),IF('2. Results'!$C$35="Both claim at 67",INDEX(ENG_S2_STRESS!$L$2:$L$42,$A21+1),INDEX(ENG_S3_STRESS!$L$2:$L$42,$A21+1)))))</f>
        <v/>
      </c>
      <c r="H21" s="47">
        <f>IF(Tables!$B$13+$A21&gt;Tables!$B$18,"",IF('3. Year by Year'!$B$3="Smooth",IF('2. Results'!$C$35="Both claim at 62",INDEX(ENG_S1_BASE!$BQ$2:$BQ$42,$A21+1),IF('2. Results'!$C$35="Both claim at 67",INDEX(ENG_S2_BASE!$BQ$2:$BQ$42,$A21+1),INDEX(ENG_S3_BASE!$BQ$2:$BQ$42,$A21+1))),IF('2. Results'!$C$35="Both claim at 62",INDEX(ENG_S1_STRESS!$BQ$2:$BQ$42,$A21+1),IF('2. Results'!$C$35="Both claim at 67",INDEX(ENG_S2_STRESS!$BQ$2:$BQ$42,$A21+1),INDEX(ENG_S3_STRESS!$BQ$2:$BQ$42,$A21+1)))))</f>
        <v/>
      </c>
      <c r="I21" s="47">
        <f>IF(Tables!$B$13+$A21&gt;Tables!$B$18,"",IF('3. Year by Year'!$B$3="Smooth",IF('2. Results'!$C$35="Both claim at 62",INDEX(ENG_S1_BASE!$Q$2:$Q$42,$A21+1),IF('2. Results'!$C$35="Both claim at 67",INDEX(ENG_S2_BASE!$Q$2:$Q$42,$A21+1),INDEX(ENG_S3_BASE!$Q$2:$Q$42,$A21+1))),IF('2. Results'!$C$35="Both claim at 62",INDEX(ENG_S1_STRESS!$Q$2:$Q$42,$A21+1),IF('2. Results'!$C$35="Both claim at 67",INDEX(ENG_S2_STRESS!$Q$2:$Q$42,$A21+1),INDEX(ENG_S3_STRESS!$Q$2:$Q$42,$A21+1)))))</f>
        <v/>
      </c>
      <c r="J21" s="47">
        <f>IF(Tables!$B$13+$A21&gt;Tables!$B$18,"",IF('3. Year by Year'!$B$3="Smooth",IF('2. Results'!$C$35="Both claim at 62",INDEX(ENG_S1_BASE!$BV$2:$BV$42,$A21+1),IF('2. Results'!$C$35="Both claim at 67",INDEX(ENG_S2_BASE!$BV$2:$BV$42,$A21+1),INDEX(ENG_S3_BASE!$BV$2:$BV$42,$A21+1))),IF('2. Results'!$C$35="Both claim at 62",INDEX(ENG_S1_STRESS!$BV$2:$BV$42,$A21+1),IF('2. Results'!$C$35="Both claim at 67",INDEX(ENG_S2_STRESS!$BV$2:$BV$42,$A21+1),INDEX(ENG_S3_STRESS!$BV$2:$BV$42,$A21+1)))))</f>
        <v/>
      </c>
      <c r="K21" s="47">
        <f>IF(Tables!$B$13+$A21&gt;Tables!$B$18,"",IF('3. Year by Year'!$B$3="Smooth",IF('2. Results'!$C$35="Both claim at 62",INDEX(ENG_S1_BASE!$BR$2:$BR$42,$A21+1),IF('2. Results'!$C$35="Both claim at 67",INDEX(ENG_S2_BASE!$BR$2:$BR$42,$A21+1),INDEX(ENG_S3_BASE!$BR$2:$BR$42,$A21+1))),IF('2. Results'!$C$35="Both claim at 62",INDEX(ENG_S1_STRESS!$BR$2:$BR$42,$A21+1),IF('2. Results'!$C$35="Both claim at 67",INDEX(ENG_S2_STRESS!$BR$2:$BR$42,$A21+1),INDEX(ENG_S3_STRESS!$BR$2:$BR$42,$A21+1)))))</f>
        <v/>
      </c>
      <c r="L21" s="47">
        <f>IF(Tables!$B$13+$A21&gt;Tables!$B$18,"",IF('3. Year by Year'!$B$3="Smooth",IF('2. Results'!$C$35="Both claim at 62",INDEX(ENG_S1_BASE!$BT$2:$BT$42,$A21+1),IF('2. Results'!$C$35="Both claim at 67",INDEX(ENG_S2_BASE!$BT$2:$BT$42,$A21+1),INDEX(ENG_S3_BASE!$BT$2:$BT$42,$A21+1))),IF('2. Results'!$C$35="Both claim at 62",INDEX(ENG_S1_STRESS!$BT$2:$BT$42,$A21+1),IF('2. Results'!$C$35="Both claim at 67",INDEX(ENG_S2_STRESS!$BT$2:$BT$42,$A21+1),INDEX(ENG_S3_STRESS!$BT$2:$BT$42,$A21+1)))))</f>
        <v/>
      </c>
      <c r="M21" s="47">
        <f>IF(Tables!$B$13+$A21&gt;Tables!$B$18,"",IF('3. Year by Year'!$B$3="Smooth",IF('2. Results'!$C$35="Both claim at 62",INDEX(ENG_S1_BASE!$BX$2:$BX$42,$A21+1),IF('2. Results'!$C$35="Both claim at 67",INDEX(ENG_S2_BASE!$BX$2:$BX$42,$A21+1),INDEX(ENG_S3_BASE!$BX$2:$BX$42,$A21+1))),IF('2. Results'!$C$35="Both claim at 62",INDEX(ENG_S1_STRESS!$BX$2:$BX$42,$A21+1),IF('2. Results'!$C$35="Both claim at 67",INDEX(ENG_S2_STRESS!$BX$2:$BX$42,$A21+1),INDEX(ENG_S3_STRESS!$BX$2:$BX$42,$A21+1)))))</f>
        <v/>
      </c>
      <c r="N21" s="47">
        <f>IF(Tables!$B$13+$A21&gt;Tables!$B$18,"",IF('3. Year by Year'!$B$3="Smooth",IF('2. Results'!$C$35="Both claim at 62",INDEX(ENG_S1_BASE!$BY$2:$BY$42,$A21+1),IF('2. Results'!$C$35="Both claim at 67",INDEX(ENG_S2_BASE!$BY$2:$BY$42,$A21+1),INDEX(ENG_S3_BASE!$BY$2:$BY$42,$A21+1))),IF('2. Results'!$C$35="Both claim at 62",INDEX(ENG_S1_STRESS!$BY$2:$BY$42,$A21+1),IF('2. Results'!$C$35="Both claim at 67",INDEX(ENG_S2_STRESS!$BY$2:$BY$42,$A21+1),INDEX(ENG_S3_STRESS!$BY$2:$BY$42,$A21+1)))))</f>
        <v/>
      </c>
      <c r="O21" s="47">
        <f>IF(Tables!$B$13+$A21&gt;Tables!$B$18,"",IF('3. Year by Year'!$B$3="Smooth",IF('2. Results'!$C$35="Both claim at 62",INDEX(ENG_S1_BASE!$BZ$2:$BZ$42,$A21+1),IF('2. Results'!$C$35="Both claim at 67",INDEX(ENG_S2_BASE!$BZ$2:$BZ$42,$A21+1),INDEX(ENG_S3_BASE!$BZ$2:$BZ$42,$A21+1))),IF('2. Results'!$C$35="Both claim at 62",INDEX(ENG_S1_STRESS!$BZ$2:$BZ$42,$A21+1),IF('2. Results'!$C$35="Both claim at 67",INDEX(ENG_S2_STRESS!$BZ$2:$BZ$42,$A21+1),INDEX(ENG_S3_STRESS!$BZ$2:$BZ$42,$A21+1)))))</f>
        <v/>
      </c>
      <c r="P21" s="47">
        <f>IF(Tables!$B$13+$A21&gt;Tables!$B$18,"",IF('3. Year by Year'!$B$3="Smooth",IF('2. Results'!$C$35="Both claim at 62",INDEX(ENG_S1_BASE!$CA$2:$CA$42,$A21+1),IF('2. Results'!$C$35="Both claim at 67",INDEX(ENG_S2_BASE!$CA$2:$CA$42,$A21+1),INDEX(ENG_S3_BASE!$CA$2:$CA$42,$A21+1))),IF('2. Results'!$C$35="Both claim at 62",INDEX(ENG_S1_STRESS!$CA$2:$CA$42,$A21+1),IF('2. Results'!$C$35="Both claim at 67",INDEX(ENG_S2_STRESS!$CA$2:$CA$42,$A21+1),INDEX(ENG_S3_STRESS!$CA$2:$CA$42,$A21+1)))))</f>
        <v/>
      </c>
      <c r="Q21" s="47">
        <f>IF(Tables!$B$13+$A21&gt;Tables!$B$18,"",IF('3. Year by Year'!$B$3="Smooth",IF('2. Results'!$C$35="Both claim at 62",INDEX(ENG_S1_BASE!$CB$2:$CB$42,$A21+1),IF('2. Results'!$C$35="Both claim at 67",INDEX(ENG_S2_BASE!$CB$2:$CB$42,$A21+1),INDEX(ENG_S3_BASE!$CB$2:$CB$42,$A21+1))),IF('2. Results'!$C$35="Both claim at 62",INDEX(ENG_S1_STRESS!$CB$2:$CB$42,$A21+1),IF('2. Results'!$C$35="Both claim at 67",INDEX(ENG_S2_STRESS!$CB$2:$CB$42,$A21+1),INDEX(ENG_S3_STRESS!$CB$2:$CB$42,$A21+1)))))</f>
        <v/>
      </c>
      <c r="R21" s="47">
        <f>IF(Tables!$B$13+$A21&gt;Tables!$B$18,"",IF('3. Year by Year'!$B$3="Smooth",IF('2. Results'!$C$35="Both claim at 62",INDEX(ENG_S1_BASE!$CC$2:$CC$42,$A21+1),IF('2. Results'!$C$35="Both claim at 67",INDEX(ENG_S2_BASE!$CC$2:$CC$42,$A21+1),INDEX(ENG_S3_BASE!$CC$2:$CC$42,$A21+1))),IF('2. Results'!$C$35="Both claim at 62",INDEX(ENG_S1_STRESS!$CC$2:$CC$42,$A21+1),IF('2. Results'!$C$35="Both claim at 67",INDEX(ENG_S2_STRESS!$CC$2:$CC$42,$A21+1),INDEX(ENG_S3_STRESS!$CC$2:$CC$42,$A21+1)))))</f>
        <v/>
      </c>
    </row>
    <row r="22">
      <c r="A22" s="43" t="n">
        <v>16</v>
      </c>
      <c r="B22" s="51">
        <f>IF(Tables!$B$13+$A22&gt;Tables!$B$18,"",Tables!$B$14+$A22)</f>
        <v/>
      </c>
      <c r="C22" s="51">
        <f>IF(Tables!$B$13+$A22&gt;Tables!$B$18,"",Tables!$B$13+$A22)</f>
        <v/>
      </c>
      <c r="D22" s="55">
        <f>IF(Tables!$B$13+$A22&gt;Tables!$B$18,"",IF('3. Year by Year'!$B$3="Smooth",IF('2. Results'!$C$35="Both claim at 62",INDEX(ENG_S1_BASE!$D$2:$D$42,$A22+1),IF('2. Results'!$C$35="Both claim at 67",INDEX(ENG_S2_BASE!$D$2:$D$42,$A22+1),INDEX(ENG_S3_BASE!$D$2:$D$42,$A22+1))),IF('2. Results'!$C$35="Both claim at 62",INDEX(ENG_S1_STRESS!$D$2:$D$42,$A22+1),IF('2. Results'!$C$35="Both claim at 67",INDEX(ENG_S2_STRESS!$D$2:$D$42,$A22+1),INDEX(ENG_S3_STRESS!$D$2:$D$42,$A22+1)))))</f>
        <v/>
      </c>
      <c r="E22" s="50">
        <f>IF(Tables!$B$13+$A22&gt;Tables!$B$18,"",IF('3. Year by Year'!$B$3="Smooth",IF('2. Results'!$C$35="Both claim at 62",INDEX(ENG_S1_BASE!$G$2:$G$42,$A22+1),IF('2. Results'!$C$35="Both claim at 67",INDEX(ENG_S2_BASE!$G$2:$G$42,$A22+1),INDEX(ENG_S3_BASE!$G$2:$G$42,$A22+1))),IF('2. Results'!$C$35="Both claim at 62",INDEX(ENG_S1_STRESS!$G$2:$G$42,$A22+1),IF('2. Results'!$C$35="Both claim at 67",INDEX(ENG_S2_STRESS!$G$2:$G$42,$A22+1),INDEX(ENG_S3_STRESS!$G$2:$G$42,$A22+1)))))</f>
        <v/>
      </c>
      <c r="F22" s="50">
        <f>IF(Tables!$B$13+$A22&gt;Tables!$B$18,"",IF('3. Year by Year'!$B$3="Smooth",IF('2. Results'!$C$35="Both claim at 62",INDEX(ENG_S1_BASE!$H$2:$H$42,$A22+1),IF('2. Results'!$C$35="Both claim at 67",INDEX(ENG_S2_BASE!$H$2:$H$42,$A22+1),INDEX(ENG_S3_BASE!$H$2:$H$42,$A22+1))),IF('2. Results'!$C$35="Both claim at 62",INDEX(ENG_S1_STRESS!$H$2:$H$42,$A22+1),IF('2. Results'!$C$35="Both claim at 67",INDEX(ENG_S2_STRESS!$H$2:$H$42,$A22+1),INDEX(ENG_S3_STRESS!$H$2:$H$42,$A22+1)))))</f>
        <v/>
      </c>
      <c r="G22" s="50">
        <f>IF(Tables!$B$13+$A22&gt;Tables!$B$18,"",IF('3. Year by Year'!$B$3="Smooth",IF('2. Results'!$C$35="Both claim at 62",INDEX(ENG_S1_BASE!$L$2:$L$42,$A22+1),IF('2. Results'!$C$35="Both claim at 67",INDEX(ENG_S2_BASE!$L$2:$L$42,$A22+1),INDEX(ENG_S3_BASE!$L$2:$L$42,$A22+1))),IF('2. Results'!$C$35="Both claim at 62",INDEX(ENG_S1_STRESS!$L$2:$L$42,$A22+1),IF('2. Results'!$C$35="Both claim at 67",INDEX(ENG_S2_STRESS!$L$2:$L$42,$A22+1),INDEX(ENG_S3_STRESS!$L$2:$L$42,$A22+1)))))</f>
        <v/>
      </c>
      <c r="H22" s="50">
        <f>IF(Tables!$B$13+$A22&gt;Tables!$B$18,"",IF('3. Year by Year'!$B$3="Smooth",IF('2. Results'!$C$35="Both claim at 62",INDEX(ENG_S1_BASE!$BQ$2:$BQ$42,$A22+1),IF('2. Results'!$C$35="Both claim at 67",INDEX(ENG_S2_BASE!$BQ$2:$BQ$42,$A22+1),INDEX(ENG_S3_BASE!$BQ$2:$BQ$42,$A22+1))),IF('2. Results'!$C$35="Both claim at 62",INDEX(ENG_S1_STRESS!$BQ$2:$BQ$42,$A22+1),IF('2. Results'!$C$35="Both claim at 67",INDEX(ENG_S2_STRESS!$BQ$2:$BQ$42,$A22+1),INDEX(ENG_S3_STRESS!$BQ$2:$BQ$42,$A22+1)))))</f>
        <v/>
      </c>
      <c r="I22" s="50">
        <f>IF(Tables!$B$13+$A22&gt;Tables!$B$18,"",IF('3. Year by Year'!$B$3="Smooth",IF('2. Results'!$C$35="Both claim at 62",INDEX(ENG_S1_BASE!$Q$2:$Q$42,$A22+1),IF('2. Results'!$C$35="Both claim at 67",INDEX(ENG_S2_BASE!$Q$2:$Q$42,$A22+1),INDEX(ENG_S3_BASE!$Q$2:$Q$42,$A22+1))),IF('2. Results'!$C$35="Both claim at 62",INDEX(ENG_S1_STRESS!$Q$2:$Q$42,$A22+1),IF('2. Results'!$C$35="Both claim at 67",INDEX(ENG_S2_STRESS!$Q$2:$Q$42,$A22+1),INDEX(ENG_S3_STRESS!$Q$2:$Q$42,$A22+1)))))</f>
        <v/>
      </c>
      <c r="J22" s="50">
        <f>IF(Tables!$B$13+$A22&gt;Tables!$B$18,"",IF('3. Year by Year'!$B$3="Smooth",IF('2. Results'!$C$35="Both claim at 62",INDEX(ENG_S1_BASE!$BV$2:$BV$42,$A22+1),IF('2. Results'!$C$35="Both claim at 67",INDEX(ENG_S2_BASE!$BV$2:$BV$42,$A22+1),INDEX(ENG_S3_BASE!$BV$2:$BV$42,$A22+1))),IF('2. Results'!$C$35="Both claim at 62",INDEX(ENG_S1_STRESS!$BV$2:$BV$42,$A22+1),IF('2. Results'!$C$35="Both claim at 67",INDEX(ENG_S2_STRESS!$BV$2:$BV$42,$A22+1),INDEX(ENG_S3_STRESS!$BV$2:$BV$42,$A22+1)))))</f>
        <v/>
      </c>
      <c r="K22" s="50">
        <f>IF(Tables!$B$13+$A22&gt;Tables!$B$18,"",IF('3. Year by Year'!$B$3="Smooth",IF('2. Results'!$C$35="Both claim at 62",INDEX(ENG_S1_BASE!$BR$2:$BR$42,$A22+1),IF('2. Results'!$C$35="Both claim at 67",INDEX(ENG_S2_BASE!$BR$2:$BR$42,$A22+1),INDEX(ENG_S3_BASE!$BR$2:$BR$42,$A22+1))),IF('2. Results'!$C$35="Both claim at 62",INDEX(ENG_S1_STRESS!$BR$2:$BR$42,$A22+1),IF('2. Results'!$C$35="Both claim at 67",INDEX(ENG_S2_STRESS!$BR$2:$BR$42,$A22+1),INDEX(ENG_S3_STRESS!$BR$2:$BR$42,$A22+1)))))</f>
        <v/>
      </c>
      <c r="L22" s="50">
        <f>IF(Tables!$B$13+$A22&gt;Tables!$B$18,"",IF('3. Year by Year'!$B$3="Smooth",IF('2. Results'!$C$35="Both claim at 62",INDEX(ENG_S1_BASE!$BT$2:$BT$42,$A22+1),IF('2. Results'!$C$35="Both claim at 67",INDEX(ENG_S2_BASE!$BT$2:$BT$42,$A22+1),INDEX(ENG_S3_BASE!$BT$2:$BT$42,$A22+1))),IF('2. Results'!$C$35="Both claim at 62",INDEX(ENG_S1_STRESS!$BT$2:$BT$42,$A22+1),IF('2. Results'!$C$35="Both claim at 67",INDEX(ENG_S2_STRESS!$BT$2:$BT$42,$A22+1),INDEX(ENG_S3_STRESS!$BT$2:$BT$42,$A22+1)))))</f>
        <v/>
      </c>
      <c r="M22" s="50">
        <f>IF(Tables!$B$13+$A22&gt;Tables!$B$18,"",IF('3. Year by Year'!$B$3="Smooth",IF('2. Results'!$C$35="Both claim at 62",INDEX(ENG_S1_BASE!$BX$2:$BX$42,$A22+1),IF('2. Results'!$C$35="Both claim at 67",INDEX(ENG_S2_BASE!$BX$2:$BX$42,$A22+1),INDEX(ENG_S3_BASE!$BX$2:$BX$42,$A22+1))),IF('2. Results'!$C$35="Both claim at 62",INDEX(ENG_S1_STRESS!$BX$2:$BX$42,$A22+1),IF('2. Results'!$C$35="Both claim at 67",INDEX(ENG_S2_STRESS!$BX$2:$BX$42,$A22+1),INDEX(ENG_S3_STRESS!$BX$2:$BX$42,$A22+1)))))</f>
        <v/>
      </c>
      <c r="N22" s="50">
        <f>IF(Tables!$B$13+$A22&gt;Tables!$B$18,"",IF('3. Year by Year'!$B$3="Smooth",IF('2. Results'!$C$35="Both claim at 62",INDEX(ENG_S1_BASE!$BY$2:$BY$42,$A22+1),IF('2. Results'!$C$35="Both claim at 67",INDEX(ENG_S2_BASE!$BY$2:$BY$42,$A22+1),INDEX(ENG_S3_BASE!$BY$2:$BY$42,$A22+1))),IF('2. Results'!$C$35="Both claim at 62",INDEX(ENG_S1_STRESS!$BY$2:$BY$42,$A22+1),IF('2. Results'!$C$35="Both claim at 67",INDEX(ENG_S2_STRESS!$BY$2:$BY$42,$A22+1),INDEX(ENG_S3_STRESS!$BY$2:$BY$42,$A22+1)))))</f>
        <v/>
      </c>
      <c r="O22" s="50">
        <f>IF(Tables!$B$13+$A22&gt;Tables!$B$18,"",IF('3. Year by Year'!$B$3="Smooth",IF('2. Results'!$C$35="Both claim at 62",INDEX(ENG_S1_BASE!$BZ$2:$BZ$42,$A22+1),IF('2. Results'!$C$35="Both claim at 67",INDEX(ENG_S2_BASE!$BZ$2:$BZ$42,$A22+1),INDEX(ENG_S3_BASE!$BZ$2:$BZ$42,$A22+1))),IF('2. Results'!$C$35="Both claim at 62",INDEX(ENG_S1_STRESS!$BZ$2:$BZ$42,$A22+1),IF('2. Results'!$C$35="Both claim at 67",INDEX(ENG_S2_STRESS!$BZ$2:$BZ$42,$A22+1),INDEX(ENG_S3_STRESS!$BZ$2:$BZ$42,$A22+1)))))</f>
        <v/>
      </c>
      <c r="P22" s="50">
        <f>IF(Tables!$B$13+$A22&gt;Tables!$B$18,"",IF('3. Year by Year'!$B$3="Smooth",IF('2. Results'!$C$35="Both claim at 62",INDEX(ENG_S1_BASE!$CA$2:$CA$42,$A22+1),IF('2. Results'!$C$35="Both claim at 67",INDEX(ENG_S2_BASE!$CA$2:$CA$42,$A22+1),INDEX(ENG_S3_BASE!$CA$2:$CA$42,$A22+1))),IF('2. Results'!$C$35="Both claim at 62",INDEX(ENG_S1_STRESS!$CA$2:$CA$42,$A22+1),IF('2. Results'!$C$35="Both claim at 67",INDEX(ENG_S2_STRESS!$CA$2:$CA$42,$A22+1),INDEX(ENG_S3_STRESS!$CA$2:$CA$42,$A22+1)))))</f>
        <v/>
      </c>
      <c r="Q22" s="50">
        <f>IF(Tables!$B$13+$A22&gt;Tables!$B$18,"",IF('3. Year by Year'!$B$3="Smooth",IF('2. Results'!$C$35="Both claim at 62",INDEX(ENG_S1_BASE!$CB$2:$CB$42,$A22+1),IF('2. Results'!$C$35="Both claim at 67",INDEX(ENG_S2_BASE!$CB$2:$CB$42,$A22+1),INDEX(ENG_S3_BASE!$CB$2:$CB$42,$A22+1))),IF('2. Results'!$C$35="Both claim at 62",INDEX(ENG_S1_STRESS!$CB$2:$CB$42,$A22+1),IF('2. Results'!$C$35="Both claim at 67",INDEX(ENG_S2_STRESS!$CB$2:$CB$42,$A22+1),INDEX(ENG_S3_STRESS!$CB$2:$CB$42,$A22+1)))))</f>
        <v/>
      </c>
      <c r="R22" s="50">
        <f>IF(Tables!$B$13+$A22&gt;Tables!$B$18,"",IF('3. Year by Year'!$B$3="Smooth",IF('2. Results'!$C$35="Both claim at 62",INDEX(ENG_S1_BASE!$CC$2:$CC$42,$A22+1),IF('2. Results'!$C$35="Both claim at 67",INDEX(ENG_S2_BASE!$CC$2:$CC$42,$A22+1),INDEX(ENG_S3_BASE!$CC$2:$CC$42,$A22+1))),IF('2. Results'!$C$35="Both claim at 62",INDEX(ENG_S1_STRESS!$CC$2:$CC$42,$A22+1),IF('2. Results'!$C$35="Both claim at 67",INDEX(ENG_S2_STRESS!$CC$2:$CC$42,$A22+1),INDEX(ENG_S3_STRESS!$CC$2:$CC$42,$A22+1)))))</f>
        <v/>
      </c>
    </row>
    <row r="23">
      <c r="A23" s="43" t="n">
        <v>17</v>
      </c>
      <c r="B23" s="48">
        <f>IF(Tables!$B$13+$A23&gt;Tables!$B$18,"",Tables!$B$14+$A23)</f>
        <v/>
      </c>
      <c r="C23" s="48">
        <f>IF(Tables!$B$13+$A23&gt;Tables!$B$18,"",Tables!$B$13+$A23)</f>
        <v/>
      </c>
      <c r="D23" s="56">
        <f>IF(Tables!$B$13+$A23&gt;Tables!$B$18,"",IF('3. Year by Year'!$B$3="Smooth",IF('2. Results'!$C$35="Both claim at 62",INDEX(ENG_S1_BASE!$D$2:$D$42,$A23+1),IF('2. Results'!$C$35="Both claim at 67",INDEX(ENG_S2_BASE!$D$2:$D$42,$A23+1),INDEX(ENG_S3_BASE!$D$2:$D$42,$A23+1))),IF('2. Results'!$C$35="Both claim at 62",INDEX(ENG_S1_STRESS!$D$2:$D$42,$A23+1),IF('2. Results'!$C$35="Both claim at 67",INDEX(ENG_S2_STRESS!$D$2:$D$42,$A23+1),INDEX(ENG_S3_STRESS!$D$2:$D$42,$A23+1)))))</f>
        <v/>
      </c>
      <c r="E23" s="47">
        <f>IF(Tables!$B$13+$A23&gt;Tables!$B$18,"",IF('3. Year by Year'!$B$3="Smooth",IF('2. Results'!$C$35="Both claim at 62",INDEX(ENG_S1_BASE!$G$2:$G$42,$A23+1),IF('2. Results'!$C$35="Both claim at 67",INDEX(ENG_S2_BASE!$G$2:$G$42,$A23+1),INDEX(ENG_S3_BASE!$G$2:$G$42,$A23+1))),IF('2. Results'!$C$35="Both claim at 62",INDEX(ENG_S1_STRESS!$G$2:$G$42,$A23+1),IF('2. Results'!$C$35="Both claim at 67",INDEX(ENG_S2_STRESS!$G$2:$G$42,$A23+1),INDEX(ENG_S3_STRESS!$G$2:$G$42,$A23+1)))))</f>
        <v/>
      </c>
      <c r="F23" s="47">
        <f>IF(Tables!$B$13+$A23&gt;Tables!$B$18,"",IF('3. Year by Year'!$B$3="Smooth",IF('2. Results'!$C$35="Both claim at 62",INDEX(ENG_S1_BASE!$H$2:$H$42,$A23+1),IF('2. Results'!$C$35="Both claim at 67",INDEX(ENG_S2_BASE!$H$2:$H$42,$A23+1),INDEX(ENG_S3_BASE!$H$2:$H$42,$A23+1))),IF('2. Results'!$C$35="Both claim at 62",INDEX(ENG_S1_STRESS!$H$2:$H$42,$A23+1),IF('2. Results'!$C$35="Both claim at 67",INDEX(ENG_S2_STRESS!$H$2:$H$42,$A23+1),INDEX(ENG_S3_STRESS!$H$2:$H$42,$A23+1)))))</f>
        <v/>
      </c>
      <c r="G23" s="47">
        <f>IF(Tables!$B$13+$A23&gt;Tables!$B$18,"",IF('3. Year by Year'!$B$3="Smooth",IF('2. Results'!$C$35="Both claim at 62",INDEX(ENG_S1_BASE!$L$2:$L$42,$A23+1),IF('2. Results'!$C$35="Both claim at 67",INDEX(ENG_S2_BASE!$L$2:$L$42,$A23+1),INDEX(ENG_S3_BASE!$L$2:$L$42,$A23+1))),IF('2. Results'!$C$35="Both claim at 62",INDEX(ENG_S1_STRESS!$L$2:$L$42,$A23+1),IF('2. Results'!$C$35="Both claim at 67",INDEX(ENG_S2_STRESS!$L$2:$L$42,$A23+1),INDEX(ENG_S3_STRESS!$L$2:$L$42,$A23+1)))))</f>
        <v/>
      </c>
      <c r="H23" s="47">
        <f>IF(Tables!$B$13+$A23&gt;Tables!$B$18,"",IF('3. Year by Year'!$B$3="Smooth",IF('2. Results'!$C$35="Both claim at 62",INDEX(ENG_S1_BASE!$BQ$2:$BQ$42,$A23+1),IF('2. Results'!$C$35="Both claim at 67",INDEX(ENG_S2_BASE!$BQ$2:$BQ$42,$A23+1),INDEX(ENG_S3_BASE!$BQ$2:$BQ$42,$A23+1))),IF('2. Results'!$C$35="Both claim at 62",INDEX(ENG_S1_STRESS!$BQ$2:$BQ$42,$A23+1),IF('2. Results'!$C$35="Both claim at 67",INDEX(ENG_S2_STRESS!$BQ$2:$BQ$42,$A23+1),INDEX(ENG_S3_STRESS!$BQ$2:$BQ$42,$A23+1)))))</f>
        <v/>
      </c>
      <c r="I23" s="47">
        <f>IF(Tables!$B$13+$A23&gt;Tables!$B$18,"",IF('3. Year by Year'!$B$3="Smooth",IF('2. Results'!$C$35="Both claim at 62",INDEX(ENG_S1_BASE!$Q$2:$Q$42,$A23+1),IF('2. Results'!$C$35="Both claim at 67",INDEX(ENG_S2_BASE!$Q$2:$Q$42,$A23+1),INDEX(ENG_S3_BASE!$Q$2:$Q$42,$A23+1))),IF('2. Results'!$C$35="Both claim at 62",INDEX(ENG_S1_STRESS!$Q$2:$Q$42,$A23+1),IF('2. Results'!$C$35="Both claim at 67",INDEX(ENG_S2_STRESS!$Q$2:$Q$42,$A23+1),INDEX(ENG_S3_STRESS!$Q$2:$Q$42,$A23+1)))))</f>
        <v/>
      </c>
      <c r="J23" s="47">
        <f>IF(Tables!$B$13+$A23&gt;Tables!$B$18,"",IF('3. Year by Year'!$B$3="Smooth",IF('2. Results'!$C$35="Both claim at 62",INDEX(ENG_S1_BASE!$BV$2:$BV$42,$A23+1),IF('2. Results'!$C$35="Both claim at 67",INDEX(ENG_S2_BASE!$BV$2:$BV$42,$A23+1),INDEX(ENG_S3_BASE!$BV$2:$BV$42,$A23+1))),IF('2. Results'!$C$35="Both claim at 62",INDEX(ENG_S1_STRESS!$BV$2:$BV$42,$A23+1),IF('2. Results'!$C$35="Both claim at 67",INDEX(ENG_S2_STRESS!$BV$2:$BV$42,$A23+1),INDEX(ENG_S3_STRESS!$BV$2:$BV$42,$A23+1)))))</f>
        <v/>
      </c>
      <c r="K23" s="47">
        <f>IF(Tables!$B$13+$A23&gt;Tables!$B$18,"",IF('3. Year by Year'!$B$3="Smooth",IF('2. Results'!$C$35="Both claim at 62",INDEX(ENG_S1_BASE!$BR$2:$BR$42,$A23+1),IF('2. Results'!$C$35="Both claim at 67",INDEX(ENG_S2_BASE!$BR$2:$BR$42,$A23+1),INDEX(ENG_S3_BASE!$BR$2:$BR$42,$A23+1))),IF('2. Results'!$C$35="Both claim at 62",INDEX(ENG_S1_STRESS!$BR$2:$BR$42,$A23+1),IF('2. Results'!$C$35="Both claim at 67",INDEX(ENG_S2_STRESS!$BR$2:$BR$42,$A23+1),INDEX(ENG_S3_STRESS!$BR$2:$BR$42,$A23+1)))))</f>
        <v/>
      </c>
      <c r="L23" s="47">
        <f>IF(Tables!$B$13+$A23&gt;Tables!$B$18,"",IF('3. Year by Year'!$B$3="Smooth",IF('2. Results'!$C$35="Both claim at 62",INDEX(ENG_S1_BASE!$BT$2:$BT$42,$A23+1),IF('2. Results'!$C$35="Both claim at 67",INDEX(ENG_S2_BASE!$BT$2:$BT$42,$A23+1),INDEX(ENG_S3_BASE!$BT$2:$BT$42,$A23+1))),IF('2. Results'!$C$35="Both claim at 62",INDEX(ENG_S1_STRESS!$BT$2:$BT$42,$A23+1),IF('2. Results'!$C$35="Both claim at 67",INDEX(ENG_S2_STRESS!$BT$2:$BT$42,$A23+1),INDEX(ENG_S3_STRESS!$BT$2:$BT$42,$A23+1)))))</f>
        <v/>
      </c>
      <c r="M23" s="47">
        <f>IF(Tables!$B$13+$A23&gt;Tables!$B$18,"",IF('3. Year by Year'!$B$3="Smooth",IF('2. Results'!$C$35="Both claim at 62",INDEX(ENG_S1_BASE!$BX$2:$BX$42,$A23+1),IF('2. Results'!$C$35="Both claim at 67",INDEX(ENG_S2_BASE!$BX$2:$BX$42,$A23+1),INDEX(ENG_S3_BASE!$BX$2:$BX$42,$A23+1))),IF('2. Results'!$C$35="Both claim at 62",INDEX(ENG_S1_STRESS!$BX$2:$BX$42,$A23+1),IF('2. Results'!$C$35="Both claim at 67",INDEX(ENG_S2_STRESS!$BX$2:$BX$42,$A23+1),INDEX(ENG_S3_STRESS!$BX$2:$BX$42,$A23+1)))))</f>
        <v/>
      </c>
      <c r="N23" s="47">
        <f>IF(Tables!$B$13+$A23&gt;Tables!$B$18,"",IF('3. Year by Year'!$B$3="Smooth",IF('2. Results'!$C$35="Both claim at 62",INDEX(ENG_S1_BASE!$BY$2:$BY$42,$A23+1),IF('2. Results'!$C$35="Both claim at 67",INDEX(ENG_S2_BASE!$BY$2:$BY$42,$A23+1),INDEX(ENG_S3_BASE!$BY$2:$BY$42,$A23+1))),IF('2. Results'!$C$35="Both claim at 62",INDEX(ENG_S1_STRESS!$BY$2:$BY$42,$A23+1),IF('2. Results'!$C$35="Both claim at 67",INDEX(ENG_S2_STRESS!$BY$2:$BY$42,$A23+1),INDEX(ENG_S3_STRESS!$BY$2:$BY$42,$A23+1)))))</f>
        <v/>
      </c>
      <c r="O23" s="47">
        <f>IF(Tables!$B$13+$A23&gt;Tables!$B$18,"",IF('3. Year by Year'!$B$3="Smooth",IF('2. Results'!$C$35="Both claim at 62",INDEX(ENG_S1_BASE!$BZ$2:$BZ$42,$A23+1),IF('2. Results'!$C$35="Both claim at 67",INDEX(ENG_S2_BASE!$BZ$2:$BZ$42,$A23+1),INDEX(ENG_S3_BASE!$BZ$2:$BZ$42,$A23+1))),IF('2. Results'!$C$35="Both claim at 62",INDEX(ENG_S1_STRESS!$BZ$2:$BZ$42,$A23+1),IF('2. Results'!$C$35="Both claim at 67",INDEX(ENG_S2_STRESS!$BZ$2:$BZ$42,$A23+1),INDEX(ENG_S3_STRESS!$BZ$2:$BZ$42,$A23+1)))))</f>
        <v/>
      </c>
      <c r="P23" s="47">
        <f>IF(Tables!$B$13+$A23&gt;Tables!$B$18,"",IF('3. Year by Year'!$B$3="Smooth",IF('2. Results'!$C$35="Both claim at 62",INDEX(ENG_S1_BASE!$CA$2:$CA$42,$A23+1),IF('2. Results'!$C$35="Both claim at 67",INDEX(ENG_S2_BASE!$CA$2:$CA$42,$A23+1),INDEX(ENG_S3_BASE!$CA$2:$CA$42,$A23+1))),IF('2. Results'!$C$35="Both claim at 62",INDEX(ENG_S1_STRESS!$CA$2:$CA$42,$A23+1),IF('2. Results'!$C$35="Both claim at 67",INDEX(ENG_S2_STRESS!$CA$2:$CA$42,$A23+1),INDEX(ENG_S3_STRESS!$CA$2:$CA$42,$A23+1)))))</f>
        <v/>
      </c>
      <c r="Q23" s="47">
        <f>IF(Tables!$B$13+$A23&gt;Tables!$B$18,"",IF('3. Year by Year'!$B$3="Smooth",IF('2. Results'!$C$35="Both claim at 62",INDEX(ENG_S1_BASE!$CB$2:$CB$42,$A23+1),IF('2. Results'!$C$35="Both claim at 67",INDEX(ENG_S2_BASE!$CB$2:$CB$42,$A23+1),INDEX(ENG_S3_BASE!$CB$2:$CB$42,$A23+1))),IF('2. Results'!$C$35="Both claim at 62",INDEX(ENG_S1_STRESS!$CB$2:$CB$42,$A23+1),IF('2. Results'!$C$35="Both claim at 67",INDEX(ENG_S2_STRESS!$CB$2:$CB$42,$A23+1),INDEX(ENG_S3_STRESS!$CB$2:$CB$42,$A23+1)))))</f>
        <v/>
      </c>
      <c r="R23" s="47">
        <f>IF(Tables!$B$13+$A23&gt;Tables!$B$18,"",IF('3. Year by Year'!$B$3="Smooth",IF('2. Results'!$C$35="Both claim at 62",INDEX(ENG_S1_BASE!$CC$2:$CC$42,$A23+1),IF('2. Results'!$C$35="Both claim at 67",INDEX(ENG_S2_BASE!$CC$2:$CC$42,$A23+1),INDEX(ENG_S3_BASE!$CC$2:$CC$42,$A23+1))),IF('2. Results'!$C$35="Both claim at 62",INDEX(ENG_S1_STRESS!$CC$2:$CC$42,$A23+1),IF('2. Results'!$C$35="Both claim at 67",INDEX(ENG_S2_STRESS!$CC$2:$CC$42,$A23+1),INDEX(ENG_S3_STRESS!$CC$2:$CC$42,$A23+1)))))</f>
        <v/>
      </c>
    </row>
    <row r="24">
      <c r="A24" s="43" t="n">
        <v>18</v>
      </c>
      <c r="B24" s="51">
        <f>IF(Tables!$B$13+$A24&gt;Tables!$B$18,"",Tables!$B$14+$A24)</f>
        <v/>
      </c>
      <c r="C24" s="51">
        <f>IF(Tables!$B$13+$A24&gt;Tables!$B$18,"",Tables!$B$13+$A24)</f>
        <v/>
      </c>
      <c r="D24" s="55">
        <f>IF(Tables!$B$13+$A24&gt;Tables!$B$18,"",IF('3. Year by Year'!$B$3="Smooth",IF('2. Results'!$C$35="Both claim at 62",INDEX(ENG_S1_BASE!$D$2:$D$42,$A24+1),IF('2. Results'!$C$35="Both claim at 67",INDEX(ENG_S2_BASE!$D$2:$D$42,$A24+1),INDEX(ENG_S3_BASE!$D$2:$D$42,$A24+1))),IF('2. Results'!$C$35="Both claim at 62",INDEX(ENG_S1_STRESS!$D$2:$D$42,$A24+1),IF('2. Results'!$C$35="Both claim at 67",INDEX(ENG_S2_STRESS!$D$2:$D$42,$A24+1),INDEX(ENG_S3_STRESS!$D$2:$D$42,$A24+1)))))</f>
        <v/>
      </c>
      <c r="E24" s="50">
        <f>IF(Tables!$B$13+$A24&gt;Tables!$B$18,"",IF('3. Year by Year'!$B$3="Smooth",IF('2. Results'!$C$35="Both claim at 62",INDEX(ENG_S1_BASE!$G$2:$G$42,$A24+1),IF('2. Results'!$C$35="Both claim at 67",INDEX(ENG_S2_BASE!$G$2:$G$42,$A24+1),INDEX(ENG_S3_BASE!$G$2:$G$42,$A24+1))),IF('2. Results'!$C$35="Both claim at 62",INDEX(ENG_S1_STRESS!$G$2:$G$42,$A24+1),IF('2. Results'!$C$35="Both claim at 67",INDEX(ENG_S2_STRESS!$G$2:$G$42,$A24+1),INDEX(ENG_S3_STRESS!$G$2:$G$42,$A24+1)))))</f>
        <v/>
      </c>
      <c r="F24" s="50">
        <f>IF(Tables!$B$13+$A24&gt;Tables!$B$18,"",IF('3. Year by Year'!$B$3="Smooth",IF('2. Results'!$C$35="Both claim at 62",INDEX(ENG_S1_BASE!$H$2:$H$42,$A24+1),IF('2. Results'!$C$35="Both claim at 67",INDEX(ENG_S2_BASE!$H$2:$H$42,$A24+1),INDEX(ENG_S3_BASE!$H$2:$H$42,$A24+1))),IF('2. Results'!$C$35="Both claim at 62",INDEX(ENG_S1_STRESS!$H$2:$H$42,$A24+1),IF('2. Results'!$C$35="Both claim at 67",INDEX(ENG_S2_STRESS!$H$2:$H$42,$A24+1),INDEX(ENG_S3_STRESS!$H$2:$H$42,$A24+1)))))</f>
        <v/>
      </c>
      <c r="G24" s="50">
        <f>IF(Tables!$B$13+$A24&gt;Tables!$B$18,"",IF('3. Year by Year'!$B$3="Smooth",IF('2. Results'!$C$35="Both claim at 62",INDEX(ENG_S1_BASE!$L$2:$L$42,$A24+1),IF('2. Results'!$C$35="Both claim at 67",INDEX(ENG_S2_BASE!$L$2:$L$42,$A24+1),INDEX(ENG_S3_BASE!$L$2:$L$42,$A24+1))),IF('2. Results'!$C$35="Both claim at 62",INDEX(ENG_S1_STRESS!$L$2:$L$42,$A24+1),IF('2. Results'!$C$35="Both claim at 67",INDEX(ENG_S2_STRESS!$L$2:$L$42,$A24+1),INDEX(ENG_S3_STRESS!$L$2:$L$42,$A24+1)))))</f>
        <v/>
      </c>
      <c r="H24" s="50">
        <f>IF(Tables!$B$13+$A24&gt;Tables!$B$18,"",IF('3. Year by Year'!$B$3="Smooth",IF('2. Results'!$C$35="Both claim at 62",INDEX(ENG_S1_BASE!$BQ$2:$BQ$42,$A24+1),IF('2. Results'!$C$35="Both claim at 67",INDEX(ENG_S2_BASE!$BQ$2:$BQ$42,$A24+1),INDEX(ENG_S3_BASE!$BQ$2:$BQ$42,$A24+1))),IF('2. Results'!$C$35="Both claim at 62",INDEX(ENG_S1_STRESS!$BQ$2:$BQ$42,$A24+1),IF('2. Results'!$C$35="Both claim at 67",INDEX(ENG_S2_STRESS!$BQ$2:$BQ$42,$A24+1),INDEX(ENG_S3_STRESS!$BQ$2:$BQ$42,$A24+1)))))</f>
        <v/>
      </c>
      <c r="I24" s="50">
        <f>IF(Tables!$B$13+$A24&gt;Tables!$B$18,"",IF('3. Year by Year'!$B$3="Smooth",IF('2. Results'!$C$35="Both claim at 62",INDEX(ENG_S1_BASE!$Q$2:$Q$42,$A24+1),IF('2. Results'!$C$35="Both claim at 67",INDEX(ENG_S2_BASE!$Q$2:$Q$42,$A24+1),INDEX(ENG_S3_BASE!$Q$2:$Q$42,$A24+1))),IF('2. Results'!$C$35="Both claim at 62",INDEX(ENG_S1_STRESS!$Q$2:$Q$42,$A24+1),IF('2. Results'!$C$35="Both claim at 67",INDEX(ENG_S2_STRESS!$Q$2:$Q$42,$A24+1),INDEX(ENG_S3_STRESS!$Q$2:$Q$42,$A24+1)))))</f>
        <v/>
      </c>
      <c r="J24" s="50">
        <f>IF(Tables!$B$13+$A24&gt;Tables!$B$18,"",IF('3. Year by Year'!$B$3="Smooth",IF('2. Results'!$C$35="Both claim at 62",INDEX(ENG_S1_BASE!$BV$2:$BV$42,$A24+1),IF('2. Results'!$C$35="Both claim at 67",INDEX(ENG_S2_BASE!$BV$2:$BV$42,$A24+1),INDEX(ENG_S3_BASE!$BV$2:$BV$42,$A24+1))),IF('2. Results'!$C$35="Both claim at 62",INDEX(ENG_S1_STRESS!$BV$2:$BV$42,$A24+1),IF('2. Results'!$C$35="Both claim at 67",INDEX(ENG_S2_STRESS!$BV$2:$BV$42,$A24+1),INDEX(ENG_S3_STRESS!$BV$2:$BV$42,$A24+1)))))</f>
        <v/>
      </c>
      <c r="K24" s="50">
        <f>IF(Tables!$B$13+$A24&gt;Tables!$B$18,"",IF('3. Year by Year'!$B$3="Smooth",IF('2. Results'!$C$35="Both claim at 62",INDEX(ENG_S1_BASE!$BR$2:$BR$42,$A24+1),IF('2. Results'!$C$35="Both claim at 67",INDEX(ENG_S2_BASE!$BR$2:$BR$42,$A24+1),INDEX(ENG_S3_BASE!$BR$2:$BR$42,$A24+1))),IF('2. Results'!$C$35="Both claim at 62",INDEX(ENG_S1_STRESS!$BR$2:$BR$42,$A24+1),IF('2. Results'!$C$35="Both claim at 67",INDEX(ENG_S2_STRESS!$BR$2:$BR$42,$A24+1),INDEX(ENG_S3_STRESS!$BR$2:$BR$42,$A24+1)))))</f>
        <v/>
      </c>
      <c r="L24" s="50">
        <f>IF(Tables!$B$13+$A24&gt;Tables!$B$18,"",IF('3. Year by Year'!$B$3="Smooth",IF('2. Results'!$C$35="Both claim at 62",INDEX(ENG_S1_BASE!$BT$2:$BT$42,$A24+1),IF('2. Results'!$C$35="Both claim at 67",INDEX(ENG_S2_BASE!$BT$2:$BT$42,$A24+1),INDEX(ENG_S3_BASE!$BT$2:$BT$42,$A24+1))),IF('2. Results'!$C$35="Both claim at 62",INDEX(ENG_S1_STRESS!$BT$2:$BT$42,$A24+1),IF('2. Results'!$C$35="Both claim at 67",INDEX(ENG_S2_STRESS!$BT$2:$BT$42,$A24+1),INDEX(ENG_S3_STRESS!$BT$2:$BT$42,$A24+1)))))</f>
        <v/>
      </c>
      <c r="M24" s="50">
        <f>IF(Tables!$B$13+$A24&gt;Tables!$B$18,"",IF('3. Year by Year'!$B$3="Smooth",IF('2. Results'!$C$35="Both claim at 62",INDEX(ENG_S1_BASE!$BX$2:$BX$42,$A24+1),IF('2. Results'!$C$35="Both claim at 67",INDEX(ENG_S2_BASE!$BX$2:$BX$42,$A24+1),INDEX(ENG_S3_BASE!$BX$2:$BX$42,$A24+1))),IF('2. Results'!$C$35="Both claim at 62",INDEX(ENG_S1_STRESS!$BX$2:$BX$42,$A24+1),IF('2. Results'!$C$35="Both claim at 67",INDEX(ENG_S2_STRESS!$BX$2:$BX$42,$A24+1),INDEX(ENG_S3_STRESS!$BX$2:$BX$42,$A24+1)))))</f>
        <v/>
      </c>
      <c r="N24" s="50">
        <f>IF(Tables!$B$13+$A24&gt;Tables!$B$18,"",IF('3. Year by Year'!$B$3="Smooth",IF('2. Results'!$C$35="Both claim at 62",INDEX(ENG_S1_BASE!$BY$2:$BY$42,$A24+1),IF('2. Results'!$C$35="Both claim at 67",INDEX(ENG_S2_BASE!$BY$2:$BY$42,$A24+1),INDEX(ENG_S3_BASE!$BY$2:$BY$42,$A24+1))),IF('2. Results'!$C$35="Both claim at 62",INDEX(ENG_S1_STRESS!$BY$2:$BY$42,$A24+1),IF('2. Results'!$C$35="Both claim at 67",INDEX(ENG_S2_STRESS!$BY$2:$BY$42,$A24+1),INDEX(ENG_S3_STRESS!$BY$2:$BY$42,$A24+1)))))</f>
        <v/>
      </c>
      <c r="O24" s="50">
        <f>IF(Tables!$B$13+$A24&gt;Tables!$B$18,"",IF('3. Year by Year'!$B$3="Smooth",IF('2. Results'!$C$35="Both claim at 62",INDEX(ENG_S1_BASE!$BZ$2:$BZ$42,$A24+1),IF('2. Results'!$C$35="Both claim at 67",INDEX(ENG_S2_BASE!$BZ$2:$BZ$42,$A24+1),INDEX(ENG_S3_BASE!$BZ$2:$BZ$42,$A24+1))),IF('2. Results'!$C$35="Both claim at 62",INDEX(ENG_S1_STRESS!$BZ$2:$BZ$42,$A24+1),IF('2. Results'!$C$35="Both claim at 67",INDEX(ENG_S2_STRESS!$BZ$2:$BZ$42,$A24+1),INDEX(ENG_S3_STRESS!$BZ$2:$BZ$42,$A24+1)))))</f>
        <v/>
      </c>
      <c r="P24" s="50">
        <f>IF(Tables!$B$13+$A24&gt;Tables!$B$18,"",IF('3. Year by Year'!$B$3="Smooth",IF('2. Results'!$C$35="Both claim at 62",INDEX(ENG_S1_BASE!$CA$2:$CA$42,$A24+1),IF('2. Results'!$C$35="Both claim at 67",INDEX(ENG_S2_BASE!$CA$2:$CA$42,$A24+1),INDEX(ENG_S3_BASE!$CA$2:$CA$42,$A24+1))),IF('2. Results'!$C$35="Both claim at 62",INDEX(ENG_S1_STRESS!$CA$2:$CA$42,$A24+1),IF('2. Results'!$C$35="Both claim at 67",INDEX(ENG_S2_STRESS!$CA$2:$CA$42,$A24+1),INDEX(ENG_S3_STRESS!$CA$2:$CA$42,$A24+1)))))</f>
        <v/>
      </c>
      <c r="Q24" s="50">
        <f>IF(Tables!$B$13+$A24&gt;Tables!$B$18,"",IF('3. Year by Year'!$B$3="Smooth",IF('2. Results'!$C$35="Both claim at 62",INDEX(ENG_S1_BASE!$CB$2:$CB$42,$A24+1),IF('2. Results'!$C$35="Both claim at 67",INDEX(ENG_S2_BASE!$CB$2:$CB$42,$A24+1),INDEX(ENG_S3_BASE!$CB$2:$CB$42,$A24+1))),IF('2. Results'!$C$35="Both claim at 62",INDEX(ENG_S1_STRESS!$CB$2:$CB$42,$A24+1),IF('2. Results'!$C$35="Both claim at 67",INDEX(ENG_S2_STRESS!$CB$2:$CB$42,$A24+1),INDEX(ENG_S3_STRESS!$CB$2:$CB$42,$A24+1)))))</f>
        <v/>
      </c>
      <c r="R24" s="50">
        <f>IF(Tables!$B$13+$A24&gt;Tables!$B$18,"",IF('3. Year by Year'!$B$3="Smooth",IF('2. Results'!$C$35="Both claim at 62",INDEX(ENG_S1_BASE!$CC$2:$CC$42,$A24+1),IF('2. Results'!$C$35="Both claim at 67",INDEX(ENG_S2_BASE!$CC$2:$CC$42,$A24+1),INDEX(ENG_S3_BASE!$CC$2:$CC$42,$A24+1))),IF('2. Results'!$C$35="Both claim at 62",INDEX(ENG_S1_STRESS!$CC$2:$CC$42,$A24+1),IF('2. Results'!$C$35="Both claim at 67",INDEX(ENG_S2_STRESS!$CC$2:$CC$42,$A24+1),INDEX(ENG_S3_STRESS!$CC$2:$CC$42,$A24+1)))))</f>
        <v/>
      </c>
    </row>
    <row r="25">
      <c r="A25" s="43" t="n">
        <v>19</v>
      </c>
      <c r="B25" s="48">
        <f>IF(Tables!$B$13+$A25&gt;Tables!$B$18,"",Tables!$B$14+$A25)</f>
        <v/>
      </c>
      <c r="C25" s="48">
        <f>IF(Tables!$B$13+$A25&gt;Tables!$B$18,"",Tables!$B$13+$A25)</f>
        <v/>
      </c>
      <c r="D25" s="56">
        <f>IF(Tables!$B$13+$A25&gt;Tables!$B$18,"",IF('3. Year by Year'!$B$3="Smooth",IF('2. Results'!$C$35="Both claim at 62",INDEX(ENG_S1_BASE!$D$2:$D$42,$A25+1),IF('2. Results'!$C$35="Both claim at 67",INDEX(ENG_S2_BASE!$D$2:$D$42,$A25+1),INDEX(ENG_S3_BASE!$D$2:$D$42,$A25+1))),IF('2. Results'!$C$35="Both claim at 62",INDEX(ENG_S1_STRESS!$D$2:$D$42,$A25+1),IF('2. Results'!$C$35="Both claim at 67",INDEX(ENG_S2_STRESS!$D$2:$D$42,$A25+1),INDEX(ENG_S3_STRESS!$D$2:$D$42,$A25+1)))))</f>
        <v/>
      </c>
      <c r="E25" s="47">
        <f>IF(Tables!$B$13+$A25&gt;Tables!$B$18,"",IF('3. Year by Year'!$B$3="Smooth",IF('2. Results'!$C$35="Both claim at 62",INDEX(ENG_S1_BASE!$G$2:$G$42,$A25+1),IF('2. Results'!$C$35="Both claim at 67",INDEX(ENG_S2_BASE!$G$2:$G$42,$A25+1),INDEX(ENG_S3_BASE!$G$2:$G$42,$A25+1))),IF('2. Results'!$C$35="Both claim at 62",INDEX(ENG_S1_STRESS!$G$2:$G$42,$A25+1),IF('2. Results'!$C$35="Both claim at 67",INDEX(ENG_S2_STRESS!$G$2:$G$42,$A25+1),INDEX(ENG_S3_STRESS!$G$2:$G$42,$A25+1)))))</f>
        <v/>
      </c>
      <c r="F25" s="47">
        <f>IF(Tables!$B$13+$A25&gt;Tables!$B$18,"",IF('3. Year by Year'!$B$3="Smooth",IF('2. Results'!$C$35="Both claim at 62",INDEX(ENG_S1_BASE!$H$2:$H$42,$A25+1),IF('2. Results'!$C$35="Both claim at 67",INDEX(ENG_S2_BASE!$H$2:$H$42,$A25+1),INDEX(ENG_S3_BASE!$H$2:$H$42,$A25+1))),IF('2. Results'!$C$35="Both claim at 62",INDEX(ENG_S1_STRESS!$H$2:$H$42,$A25+1),IF('2. Results'!$C$35="Both claim at 67",INDEX(ENG_S2_STRESS!$H$2:$H$42,$A25+1),INDEX(ENG_S3_STRESS!$H$2:$H$42,$A25+1)))))</f>
        <v/>
      </c>
      <c r="G25" s="47">
        <f>IF(Tables!$B$13+$A25&gt;Tables!$B$18,"",IF('3. Year by Year'!$B$3="Smooth",IF('2. Results'!$C$35="Both claim at 62",INDEX(ENG_S1_BASE!$L$2:$L$42,$A25+1),IF('2. Results'!$C$35="Both claim at 67",INDEX(ENG_S2_BASE!$L$2:$L$42,$A25+1),INDEX(ENG_S3_BASE!$L$2:$L$42,$A25+1))),IF('2. Results'!$C$35="Both claim at 62",INDEX(ENG_S1_STRESS!$L$2:$L$42,$A25+1),IF('2. Results'!$C$35="Both claim at 67",INDEX(ENG_S2_STRESS!$L$2:$L$42,$A25+1),INDEX(ENG_S3_STRESS!$L$2:$L$42,$A25+1)))))</f>
        <v/>
      </c>
      <c r="H25" s="47">
        <f>IF(Tables!$B$13+$A25&gt;Tables!$B$18,"",IF('3. Year by Year'!$B$3="Smooth",IF('2. Results'!$C$35="Both claim at 62",INDEX(ENG_S1_BASE!$BQ$2:$BQ$42,$A25+1),IF('2. Results'!$C$35="Both claim at 67",INDEX(ENG_S2_BASE!$BQ$2:$BQ$42,$A25+1),INDEX(ENG_S3_BASE!$BQ$2:$BQ$42,$A25+1))),IF('2. Results'!$C$35="Both claim at 62",INDEX(ENG_S1_STRESS!$BQ$2:$BQ$42,$A25+1),IF('2. Results'!$C$35="Both claim at 67",INDEX(ENG_S2_STRESS!$BQ$2:$BQ$42,$A25+1),INDEX(ENG_S3_STRESS!$BQ$2:$BQ$42,$A25+1)))))</f>
        <v/>
      </c>
      <c r="I25" s="47">
        <f>IF(Tables!$B$13+$A25&gt;Tables!$B$18,"",IF('3. Year by Year'!$B$3="Smooth",IF('2. Results'!$C$35="Both claim at 62",INDEX(ENG_S1_BASE!$Q$2:$Q$42,$A25+1),IF('2. Results'!$C$35="Both claim at 67",INDEX(ENG_S2_BASE!$Q$2:$Q$42,$A25+1),INDEX(ENG_S3_BASE!$Q$2:$Q$42,$A25+1))),IF('2. Results'!$C$35="Both claim at 62",INDEX(ENG_S1_STRESS!$Q$2:$Q$42,$A25+1),IF('2. Results'!$C$35="Both claim at 67",INDEX(ENG_S2_STRESS!$Q$2:$Q$42,$A25+1),INDEX(ENG_S3_STRESS!$Q$2:$Q$42,$A25+1)))))</f>
        <v/>
      </c>
      <c r="J25" s="47">
        <f>IF(Tables!$B$13+$A25&gt;Tables!$B$18,"",IF('3. Year by Year'!$B$3="Smooth",IF('2. Results'!$C$35="Both claim at 62",INDEX(ENG_S1_BASE!$BV$2:$BV$42,$A25+1),IF('2. Results'!$C$35="Both claim at 67",INDEX(ENG_S2_BASE!$BV$2:$BV$42,$A25+1),INDEX(ENG_S3_BASE!$BV$2:$BV$42,$A25+1))),IF('2. Results'!$C$35="Both claim at 62",INDEX(ENG_S1_STRESS!$BV$2:$BV$42,$A25+1),IF('2. Results'!$C$35="Both claim at 67",INDEX(ENG_S2_STRESS!$BV$2:$BV$42,$A25+1),INDEX(ENG_S3_STRESS!$BV$2:$BV$42,$A25+1)))))</f>
        <v/>
      </c>
      <c r="K25" s="47">
        <f>IF(Tables!$B$13+$A25&gt;Tables!$B$18,"",IF('3. Year by Year'!$B$3="Smooth",IF('2. Results'!$C$35="Both claim at 62",INDEX(ENG_S1_BASE!$BR$2:$BR$42,$A25+1),IF('2. Results'!$C$35="Both claim at 67",INDEX(ENG_S2_BASE!$BR$2:$BR$42,$A25+1),INDEX(ENG_S3_BASE!$BR$2:$BR$42,$A25+1))),IF('2. Results'!$C$35="Both claim at 62",INDEX(ENG_S1_STRESS!$BR$2:$BR$42,$A25+1),IF('2. Results'!$C$35="Both claim at 67",INDEX(ENG_S2_STRESS!$BR$2:$BR$42,$A25+1),INDEX(ENG_S3_STRESS!$BR$2:$BR$42,$A25+1)))))</f>
        <v/>
      </c>
      <c r="L25" s="47">
        <f>IF(Tables!$B$13+$A25&gt;Tables!$B$18,"",IF('3. Year by Year'!$B$3="Smooth",IF('2. Results'!$C$35="Both claim at 62",INDEX(ENG_S1_BASE!$BT$2:$BT$42,$A25+1),IF('2. Results'!$C$35="Both claim at 67",INDEX(ENG_S2_BASE!$BT$2:$BT$42,$A25+1),INDEX(ENG_S3_BASE!$BT$2:$BT$42,$A25+1))),IF('2. Results'!$C$35="Both claim at 62",INDEX(ENG_S1_STRESS!$BT$2:$BT$42,$A25+1),IF('2. Results'!$C$35="Both claim at 67",INDEX(ENG_S2_STRESS!$BT$2:$BT$42,$A25+1),INDEX(ENG_S3_STRESS!$BT$2:$BT$42,$A25+1)))))</f>
        <v/>
      </c>
      <c r="M25" s="47">
        <f>IF(Tables!$B$13+$A25&gt;Tables!$B$18,"",IF('3. Year by Year'!$B$3="Smooth",IF('2. Results'!$C$35="Both claim at 62",INDEX(ENG_S1_BASE!$BX$2:$BX$42,$A25+1),IF('2. Results'!$C$35="Both claim at 67",INDEX(ENG_S2_BASE!$BX$2:$BX$42,$A25+1),INDEX(ENG_S3_BASE!$BX$2:$BX$42,$A25+1))),IF('2. Results'!$C$35="Both claim at 62",INDEX(ENG_S1_STRESS!$BX$2:$BX$42,$A25+1),IF('2. Results'!$C$35="Both claim at 67",INDEX(ENG_S2_STRESS!$BX$2:$BX$42,$A25+1),INDEX(ENG_S3_STRESS!$BX$2:$BX$42,$A25+1)))))</f>
        <v/>
      </c>
      <c r="N25" s="47">
        <f>IF(Tables!$B$13+$A25&gt;Tables!$B$18,"",IF('3. Year by Year'!$B$3="Smooth",IF('2. Results'!$C$35="Both claim at 62",INDEX(ENG_S1_BASE!$BY$2:$BY$42,$A25+1),IF('2. Results'!$C$35="Both claim at 67",INDEX(ENG_S2_BASE!$BY$2:$BY$42,$A25+1),INDEX(ENG_S3_BASE!$BY$2:$BY$42,$A25+1))),IF('2. Results'!$C$35="Both claim at 62",INDEX(ENG_S1_STRESS!$BY$2:$BY$42,$A25+1),IF('2. Results'!$C$35="Both claim at 67",INDEX(ENG_S2_STRESS!$BY$2:$BY$42,$A25+1),INDEX(ENG_S3_STRESS!$BY$2:$BY$42,$A25+1)))))</f>
        <v/>
      </c>
      <c r="O25" s="47">
        <f>IF(Tables!$B$13+$A25&gt;Tables!$B$18,"",IF('3. Year by Year'!$B$3="Smooth",IF('2. Results'!$C$35="Both claim at 62",INDEX(ENG_S1_BASE!$BZ$2:$BZ$42,$A25+1),IF('2. Results'!$C$35="Both claim at 67",INDEX(ENG_S2_BASE!$BZ$2:$BZ$42,$A25+1),INDEX(ENG_S3_BASE!$BZ$2:$BZ$42,$A25+1))),IF('2. Results'!$C$35="Both claim at 62",INDEX(ENG_S1_STRESS!$BZ$2:$BZ$42,$A25+1),IF('2. Results'!$C$35="Both claim at 67",INDEX(ENG_S2_STRESS!$BZ$2:$BZ$42,$A25+1),INDEX(ENG_S3_STRESS!$BZ$2:$BZ$42,$A25+1)))))</f>
        <v/>
      </c>
      <c r="P25" s="47">
        <f>IF(Tables!$B$13+$A25&gt;Tables!$B$18,"",IF('3. Year by Year'!$B$3="Smooth",IF('2. Results'!$C$35="Both claim at 62",INDEX(ENG_S1_BASE!$CA$2:$CA$42,$A25+1),IF('2. Results'!$C$35="Both claim at 67",INDEX(ENG_S2_BASE!$CA$2:$CA$42,$A25+1),INDEX(ENG_S3_BASE!$CA$2:$CA$42,$A25+1))),IF('2. Results'!$C$35="Both claim at 62",INDEX(ENG_S1_STRESS!$CA$2:$CA$42,$A25+1),IF('2. Results'!$C$35="Both claim at 67",INDEX(ENG_S2_STRESS!$CA$2:$CA$42,$A25+1),INDEX(ENG_S3_STRESS!$CA$2:$CA$42,$A25+1)))))</f>
        <v/>
      </c>
      <c r="Q25" s="47">
        <f>IF(Tables!$B$13+$A25&gt;Tables!$B$18,"",IF('3. Year by Year'!$B$3="Smooth",IF('2. Results'!$C$35="Both claim at 62",INDEX(ENG_S1_BASE!$CB$2:$CB$42,$A25+1),IF('2. Results'!$C$35="Both claim at 67",INDEX(ENG_S2_BASE!$CB$2:$CB$42,$A25+1),INDEX(ENG_S3_BASE!$CB$2:$CB$42,$A25+1))),IF('2. Results'!$C$35="Both claim at 62",INDEX(ENG_S1_STRESS!$CB$2:$CB$42,$A25+1),IF('2. Results'!$C$35="Both claim at 67",INDEX(ENG_S2_STRESS!$CB$2:$CB$42,$A25+1),INDEX(ENG_S3_STRESS!$CB$2:$CB$42,$A25+1)))))</f>
        <v/>
      </c>
      <c r="R25" s="47">
        <f>IF(Tables!$B$13+$A25&gt;Tables!$B$18,"",IF('3. Year by Year'!$B$3="Smooth",IF('2. Results'!$C$35="Both claim at 62",INDEX(ENG_S1_BASE!$CC$2:$CC$42,$A25+1),IF('2. Results'!$C$35="Both claim at 67",INDEX(ENG_S2_BASE!$CC$2:$CC$42,$A25+1),INDEX(ENG_S3_BASE!$CC$2:$CC$42,$A25+1))),IF('2. Results'!$C$35="Both claim at 62",INDEX(ENG_S1_STRESS!$CC$2:$CC$42,$A25+1),IF('2. Results'!$C$35="Both claim at 67",INDEX(ENG_S2_STRESS!$CC$2:$CC$42,$A25+1),INDEX(ENG_S3_STRESS!$CC$2:$CC$42,$A25+1)))))</f>
        <v/>
      </c>
    </row>
    <row r="26">
      <c r="A26" s="43" t="n">
        <v>20</v>
      </c>
      <c r="B26" s="51">
        <f>IF(Tables!$B$13+$A26&gt;Tables!$B$18,"",Tables!$B$14+$A26)</f>
        <v/>
      </c>
      <c r="C26" s="51">
        <f>IF(Tables!$B$13+$A26&gt;Tables!$B$18,"",Tables!$B$13+$A26)</f>
        <v/>
      </c>
      <c r="D26" s="55">
        <f>IF(Tables!$B$13+$A26&gt;Tables!$B$18,"",IF('3. Year by Year'!$B$3="Smooth",IF('2. Results'!$C$35="Both claim at 62",INDEX(ENG_S1_BASE!$D$2:$D$42,$A26+1),IF('2. Results'!$C$35="Both claim at 67",INDEX(ENG_S2_BASE!$D$2:$D$42,$A26+1),INDEX(ENG_S3_BASE!$D$2:$D$42,$A26+1))),IF('2. Results'!$C$35="Both claim at 62",INDEX(ENG_S1_STRESS!$D$2:$D$42,$A26+1),IF('2. Results'!$C$35="Both claim at 67",INDEX(ENG_S2_STRESS!$D$2:$D$42,$A26+1),INDEX(ENG_S3_STRESS!$D$2:$D$42,$A26+1)))))</f>
        <v/>
      </c>
      <c r="E26" s="50">
        <f>IF(Tables!$B$13+$A26&gt;Tables!$B$18,"",IF('3. Year by Year'!$B$3="Smooth",IF('2. Results'!$C$35="Both claim at 62",INDEX(ENG_S1_BASE!$G$2:$G$42,$A26+1),IF('2. Results'!$C$35="Both claim at 67",INDEX(ENG_S2_BASE!$G$2:$G$42,$A26+1),INDEX(ENG_S3_BASE!$G$2:$G$42,$A26+1))),IF('2. Results'!$C$35="Both claim at 62",INDEX(ENG_S1_STRESS!$G$2:$G$42,$A26+1),IF('2. Results'!$C$35="Both claim at 67",INDEX(ENG_S2_STRESS!$G$2:$G$42,$A26+1),INDEX(ENG_S3_STRESS!$G$2:$G$42,$A26+1)))))</f>
        <v/>
      </c>
      <c r="F26" s="50">
        <f>IF(Tables!$B$13+$A26&gt;Tables!$B$18,"",IF('3. Year by Year'!$B$3="Smooth",IF('2. Results'!$C$35="Both claim at 62",INDEX(ENG_S1_BASE!$H$2:$H$42,$A26+1),IF('2. Results'!$C$35="Both claim at 67",INDEX(ENG_S2_BASE!$H$2:$H$42,$A26+1),INDEX(ENG_S3_BASE!$H$2:$H$42,$A26+1))),IF('2. Results'!$C$35="Both claim at 62",INDEX(ENG_S1_STRESS!$H$2:$H$42,$A26+1),IF('2. Results'!$C$35="Both claim at 67",INDEX(ENG_S2_STRESS!$H$2:$H$42,$A26+1),INDEX(ENG_S3_STRESS!$H$2:$H$42,$A26+1)))))</f>
        <v/>
      </c>
      <c r="G26" s="50">
        <f>IF(Tables!$B$13+$A26&gt;Tables!$B$18,"",IF('3. Year by Year'!$B$3="Smooth",IF('2. Results'!$C$35="Both claim at 62",INDEX(ENG_S1_BASE!$L$2:$L$42,$A26+1),IF('2. Results'!$C$35="Both claim at 67",INDEX(ENG_S2_BASE!$L$2:$L$42,$A26+1),INDEX(ENG_S3_BASE!$L$2:$L$42,$A26+1))),IF('2. Results'!$C$35="Both claim at 62",INDEX(ENG_S1_STRESS!$L$2:$L$42,$A26+1),IF('2. Results'!$C$35="Both claim at 67",INDEX(ENG_S2_STRESS!$L$2:$L$42,$A26+1),INDEX(ENG_S3_STRESS!$L$2:$L$42,$A26+1)))))</f>
        <v/>
      </c>
      <c r="H26" s="50">
        <f>IF(Tables!$B$13+$A26&gt;Tables!$B$18,"",IF('3. Year by Year'!$B$3="Smooth",IF('2. Results'!$C$35="Both claim at 62",INDEX(ENG_S1_BASE!$BQ$2:$BQ$42,$A26+1),IF('2. Results'!$C$35="Both claim at 67",INDEX(ENG_S2_BASE!$BQ$2:$BQ$42,$A26+1),INDEX(ENG_S3_BASE!$BQ$2:$BQ$42,$A26+1))),IF('2. Results'!$C$35="Both claim at 62",INDEX(ENG_S1_STRESS!$BQ$2:$BQ$42,$A26+1),IF('2. Results'!$C$35="Both claim at 67",INDEX(ENG_S2_STRESS!$BQ$2:$BQ$42,$A26+1),INDEX(ENG_S3_STRESS!$BQ$2:$BQ$42,$A26+1)))))</f>
        <v/>
      </c>
      <c r="I26" s="50">
        <f>IF(Tables!$B$13+$A26&gt;Tables!$B$18,"",IF('3. Year by Year'!$B$3="Smooth",IF('2. Results'!$C$35="Both claim at 62",INDEX(ENG_S1_BASE!$Q$2:$Q$42,$A26+1),IF('2. Results'!$C$35="Both claim at 67",INDEX(ENG_S2_BASE!$Q$2:$Q$42,$A26+1),INDEX(ENG_S3_BASE!$Q$2:$Q$42,$A26+1))),IF('2. Results'!$C$35="Both claim at 62",INDEX(ENG_S1_STRESS!$Q$2:$Q$42,$A26+1),IF('2. Results'!$C$35="Both claim at 67",INDEX(ENG_S2_STRESS!$Q$2:$Q$42,$A26+1),INDEX(ENG_S3_STRESS!$Q$2:$Q$42,$A26+1)))))</f>
        <v/>
      </c>
      <c r="J26" s="50">
        <f>IF(Tables!$B$13+$A26&gt;Tables!$B$18,"",IF('3. Year by Year'!$B$3="Smooth",IF('2. Results'!$C$35="Both claim at 62",INDEX(ENG_S1_BASE!$BV$2:$BV$42,$A26+1),IF('2. Results'!$C$35="Both claim at 67",INDEX(ENG_S2_BASE!$BV$2:$BV$42,$A26+1),INDEX(ENG_S3_BASE!$BV$2:$BV$42,$A26+1))),IF('2. Results'!$C$35="Both claim at 62",INDEX(ENG_S1_STRESS!$BV$2:$BV$42,$A26+1),IF('2. Results'!$C$35="Both claim at 67",INDEX(ENG_S2_STRESS!$BV$2:$BV$42,$A26+1),INDEX(ENG_S3_STRESS!$BV$2:$BV$42,$A26+1)))))</f>
        <v/>
      </c>
      <c r="K26" s="50">
        <f>IF(Tables!$B$13+$A26&gt;Tables!$B$18,"",IF('3. Year by Year'!$B$3="Smooth",IF('2. Results'!$C$35="Both claim at 62",INDEX(ENG_S1_BASE!$BR$2:$BR$42,$A26+1),IF('2. Results'!$C$35="Both claim at 67",INDEX(ENG_S2_BASE!$BR$2:$BR$42,$A26+1),INDEX(ENG_S3_BASE!$BR$2:$BR$42,$A26+1))),IF('2. Results'!$C$35="Both claim at 62",INDEX(ENG_S1_STRESS!$BR$2:$BR$42,$A26+1),IF('2. Results'!$C$35="Both claim at 67",INDEX(ENG_S2_STRESS!$BR$2:$BR$42,$A26+1),INDEX(ENG_S3_STRESS!$BR$2:$BR$42,$A26+1)))))</f>
        <v/>
      </c>
      <c r="L26" s="50">
        <f>IF(Tables!$B$13+$A26&gt;Tables!$B$18,"",IF('3. Year by Year'!$B$3="Smooth",IF('2. Results'!$C$35="Both claim at 62",INDEX(ENG_S1_BASE!$BT$2:$BT$42,$A26+1),IF('2. Results'!$C$35="Both claim at 67",INDEX(ENG_S2_BASE!$BT$2:$BT$42,$A26+1),INDEX(ENG_S3_BASE!$BT$2:$BT$42,$A26+1))),IF('2. Results'!$C$35="Both claim at 62",INDEX(ENG_S1_STRESS!$BT$2:$BT$42,$A26+1),IF('2. Results'!$C$35="Both claim at 67",INDEX(ENG_S2_STRESS!$BT$2:$BT$42,$A26+1),INDEX(ENG_S3_STRESS!$BT$2:$BT$42,$A26+1)))))</f>
        <v/>
      </c>
      <c r="M26" s="50">
        <f>IF(Tables!$B$13+$A26&gt;Tables!$B$18,"",IF('3. Year by Year'!$B$3="Smooth",IF('2. Results'!$C$35="Both claim at 62",INDEX(ENG_S1_BASE!$BX$2:$BX$42,$A26+1),IF('2. Results'!$C$35="Both claim at 67",INDEX(ENG_S2_BASE!$BX$2:$BX$42,$A26+1),INDEX(ENG_S3_BASE!$BX$2:$BX$42,$A26+1))),IF('2. Results'!$C$35="Both claim at 62",INDEX(ENG_S1_STRESS!$BX$2:$BX$42,$A26+1),IF('2. Results'!$C$35="Both claim at 67",INDEX(ENG_S2_STRESS!$BX$2:$BX$42,$A26+1),INDEX(ENG_S3_STRESS!$BX$2:$BX$42,$A26+1)))))</f>
        <v/>
      </c>
      <c r="N26" s="50">
        <f>IF(Tables!$B$13+$A26&gt;Tables!$B$18,"",IF('3. Year by Year'!$B$3="Smooth",IF('2. Results'!$C$35="Both claim at 62",INDEX(ENG_S1_BASE!$BY$2:$BY$42,$A26+1),IF('2. Results'!$C$35="Both claim at 67",INDEX(ENG_S2_BASE!$BY$2:$BY$42,$A26+1),INDEX(ENG_S3_BASE!$BY$2:$BY$42,$A26+1))),IF('2. Results'!$C$35="Both claim at 62",INDEX(ENG_S1_STRESS!$BY$2:$BY$42,$A26+1),IF('2. Results'!$C$35="Both claim at 67",INDEX(ENG_S2_STRESS!$BY$2:$BY$42,$A26+1),INDEX(ENG_S3_STRESS!$BY$2:$BY$42,$A26+1)))))</f>
        <v/>
      </c>
      <c r="O26" s="50">
        <f>IF(Tables!$B$13+$A26&gt;Tables!$B$18,"",IF('3. Year by Year'!$B$3="Smooth",IF('2. Results'!$C$35="Both claim at 62",INDEX(ENG_S1_BASE!$BZ$2:$BZ$42,$A26+1),IF('2. Results'!$C$35="Both claim at 67",INDEX(ENG_S2_BASE!$BZ$2:$BZ$42,$A26+1),INDEX(ENG_S3_BASE!$BZ$2:$BZ$42,$A26+1))),IF('2. Results'!$C$35="Both claim at 62",INDEX(ENG_S1_STRESS!$BZ$2:$BZ$42,$A26+1),IF('2. Results'!$C$35="Both claim at 67",INDEX(ENG_S2_STRESS!$BZ$2:$BZ$42,$A26+1),INDEX(ENG_S3_STRESS!$BZ$2:$BZ$42,$A26+1)))))</f>
        <v/>
      </c>
      <c r="P26" s="50">
        <f>IF(Tables!$B$13+$A26&gt;Tables!$B$18,"",IF('3. Year by Year'!$B$3="Smooth",IF('2. Results'!$C$35="Both claim at 62",INDEX(ENG_S1_BASE!$CA$2:$CA$42,$A26+1),IF('2. Results'!$C$35="Both claim at 67",INDEX(ENG_S2_BASE!$CA$2:$CA$42,$A26+1),INDEX(ENG_S3_BASE!$CA$2:$CA$42,$A26+1))),IF('2. Results'!$C$35="Both claim at 62",INDEX(ENG_S1_STRESS!$CA$2:$CA$42,$A26+1),IF('2. Results'!$C$35="Both claim at 67",INDEX(ENG_S2_STRESS!$CA$2:$CA$42,$A26+1),INDEX(ENG_S3_STRESS!$CA$2:$CA$42,$A26+1)))))</f>
        <v/>
      </c>
      <c r="Q26" s="50">
        <f>IF(Tables!$B$13+$A26&gt;Tables!$B$18,"",IF('3. Year by Year'!$B$3="Smooth",IF('2. Results'!$C$35="Both claim at 62",INDEX(ENG_S1_BASE!$CB$2:$CB$42,$A26+1),IF('2. Results'!$C$35="Both claim at 67",INDEX(ENG_S2_BASE!$CB$2:$CB$42,$A26+1),INDEX(ENG_S3_BASE!$CB$2:$CB$42,$A26+1))),IF('2. Results'!$C$35="Both claim at 62",INDEX(ENG_S1_STRESS!$CB$2:$CB$42,$A26+1),IF('2. Results'!$C$35="Both claim at 67",INDEX(ENG_S2_STRESS!$CB$2:$CB$42,$A26+1),INDEX(ENG_S3_STRESS!$CB$2:$CB$42,$A26+1)))))</f>
        <v/>
      </c>
      <c r="R26" s="50">
        <f>IF(Tables!$B$13+$A26&gt;Tables!$B$18,"",IF('3. Year by Year'!$B$3="Smooth",IF('2. Results'!$C$35="Both claim at 62",INDEX(ENG_S1_BASE!$CC$2:$CC$42,$A26+1),IF('2. Results'!$C$35="Both claim at 67",INDEX(ENG_S2_BASE!$CC$2:$CC$42,$A26+1),INDEX(ENG_S3_BASE!$CC$2:$CC$42,$A26+1))),IF('2. Results'!$C$35="Both claim at 62",INDEX(ENG_S1_STRESS!$CC$2:$CC$42,$A26+1),IF('2. Results'!$C$35="Both claim at 67",INDEX(ENG_S2_STRESS!$CC$2:$CC$42,$A26+1),INDEX(ENG_S3_STRESS!$CC$2:$CC$42,$A26+1)))))</f>
        <v/>
      </c>
    </row>
    <row r="27">
      <c r="A27" s="43" t="n">
        <v>21</v>
      </c>
      <c r="B27" s="48">
        <f>IF(Tables!$B$13+$A27&gt;Tables!$B$18,"",Tables!$B$14+$A27)</f>
        <v/>
      </c>
      <c r="C27" s="48">
        <f>IF(Tables!$B$13+$A27&gt;Tables!$B$18,"",Tables!$B$13+$A27)</f>
        <v/>
      </c>
      <c r="D27" s="56">
        <f>IF(Tables!$B$13+$A27&gt;Tables!$B$18,"",IF('3. Year by Year'!$B$3="Smooth",IF('2. Results'!$C$35="Both claim at 62",INDEX(ENG_S1_BASE!$D$2:$D$42,$A27+1),IF('2. Results'!$C$35="Both claim at 67",INDEX(ENG_S2_BASE!$D$2:$D$42,$A27+1),INDEX(ENG_S3_BASE!$D$2:$D$42,$A27+1))),IF('2. Results'!$C$35="Both claim at 62",INDEX(ENG_S1_STRESS!$D$2:$D$42,$A27+1),IF('2. Results'!$C$35="Both claim at 67",INDEX(ENG_S2_STRESS!$D$2:$D$42,$A27+1),INDEX(ENG_S3_STRESS!$D$2:$D$42,$A27+1)))))</f>
        <v/>
      </c>
      <c r="E27" s="47">
        <f>IF(Tables!$B$13+$A27&gt;Tables!$B$18,"",IF('3. Year by Year'!$B$3="Smooth",IF('2. Results'!$C$35="Both claim at 62",INDEX(ENG_S1_BASE!$G$2:$G$42,$A27+1),IF('2. Results'!$C$35="Both claim at 67",INDEX(ENG_S2_BASE!$G$2:$G$42,$A27+1),INDEX(ENG_S3_BASE!$G$2:$G$42,$A27+1))),IF('2. Results'!$C$35="Both claim at 62",INDEX(ENG_S1_STRESS!$G$2:$G$42,$A27+1),IF('2. Results'!$C$35="Both claim at 67",INDEX(ENG_S2_STRESS!$G$2:$G$42,$A27+1),INDEX(ENG_S3_STRESS!$G$2:$G$42,$A27+1)))))</f>
        <v/>
      </c>
      <c r="F27" s="47">
        <f>IF(Tables!$B$13+$A27&gt;Tables!$B$18,"",IF('3. Year by Year'!$B$3="Smooth",IF('2. Results'!$C$35="Both claim at 62",INDEX(ENG_S1_BASE!$H$2:$H$42,$A27+1),IF('2. Results'!$C$35="Both claim at 67",INDEX(ENG_S2_BASE!$H$2:$H$42,$A27+1),INDEX(ENG_S3_BASE!$H$2:$H$42,$A27+1))),IF('2. Results'!$C$35="Both claim at 62",INDEX(ENG_S1_STRESS!$H$2:$H$42,$A27+1),IF('2. Results'!$C$35="Both claim at 67",INDEX(ENG_S2_STRESS!$H$2:$H$42,$A27+1),INDEX(ENG_S3_STRESS!$H$2:$H$42,$A27+1)))))</f>
        <v/>
      </c>
      <c r="G27" s="47">
        <f>IF(Tables!$B$13+$A27&gt;Tables!$B$18,"",IF('3. Year by Year'!$B$3="Smooth",IF('2. Results'!$C$35="Both claim at 62",INDEX(ENG_S1_BASE!$L$2:$L$42,$A27+1),IF('2. Results'!$C$35="Both claim at 67",INDEX(ENG_S2_BASE!$L$2:$L$42,$A27+1),INDEX(ENG_S3_BASE!$L$2:$L$42,$A27+1))),IF('2. Results'!$C$35="Both claim at 62",INDEX(ENG_S1_STRESS!$L$2:$L$42,$A27+1),IF('2. Results'!$C$35="Both claim at 67",INDEX(ENG_S2_STRESS!$L$2:$L$42,$A27+1),INDEX(ENG_S3_STRESS!$L$2:$L$42,$A27+1)))))</f>
        <v/>
      </c>
      <c r="H27" s="47">
        <f>IF(Tables!$B$13+$A27&gt;Tables!$B$18,"",IF('3. Year by Year'!$B$3="Smooth",IF('2. Results'!$C$35="Both claim at 62",INDEX(ENG_S1_BASE!$BQ$2:$BQ$42,$A27+1),IF('2. Results'!$C$35="Both claim at 67",INDEX(ENG_S2_BASE!$BQ$2:$BQ$42,$A27+1),INDEX(ENG_S3_BASE!$BQ$2:$BQ$42,$A27+1))),IF('2. Results'!$C$35="Both claim at 62",INDEX(ENG_S1_STRESS!$BQ$2:$BQ$42,$A27+1),IF('2. Results'!$C$35="Both claim at 67",INDEX(ENG_S2_STRESS!$BQ$2:$BQ$42,$A27+1),INDEX(ENG_S3_STRESS!$BQ$2:$BQ$42,$A27+1)))))</f>
        <v/>
      </c>
      <c r="I27" s="47">
        <f>IF(Tables!$B$13+$A27&gt;Tables!$B$18,"",IF('3. Year by Year'!$B$3="Smooth",IF('2. Results'!$C$35="Both claim at 62",INDEX(ENG_S1_BASE!$Q$2:$Q$42,$A27+1),IF('2. Results'!$C$35="Both claim at 67",INDEX(ENG_S2_BASE!$Q$2:$Q$42,$A27+1),INDEX(ENG_S3_BASE!$Q$2:$Q$42,$A27+1))),IF('2. Results'!$C$35="Both claim at 62",INDEX(ENG_S1_STRESS!$Q$2:$Q$42,$A27+1),IF('2. Results'!$C$35="Both claim at 67",INDEX(ENG_S2_STRESS!$Q$2:$Q$42,$A27+1),INDEX(ENG_S3_STRESS!$Q$2:$Q$42,$A27+1)))))</f>
        <v/>
      </c>
      <c r="J27" s="47">
        <f>IF(Tables!$B$13+$A27&gt;Tables!$B$18,"",IF('3. Year by Year'!$B$3="Smooth",IF('2. Results'!$C$35="Both claim at 62",INDEX(ENG_S1_BASE!$BV$2:$BV$42,$A27+1),IF('2. Results'!$C$35="Both claim at 67",INDEX(ENG_S2_BASE!$BV$2:$BV$42,$A27+1),INDEX(ENG_S3_BASE!$BV$2:$BV$42,$A27+1))),IF('2. Results'!$C$35="Both claim at 62",INDEX(ENG_S1_STRESS!$BV$2:$BV$42,$A27+1),IF('2. Results'!$C$35="Both claim at 67",INDEX(ENG_S2_STRESS!$BV$2:$BV$42,$A27+1),INDEX(ENG_S3_STRESS!$BV$2:$BV$42,$A27+1)))))</f>
        <v/>
      </c>
      <c r="K27" s="47">
        <f>IF(Tables!$B$13+$A27&gt;Tables!$B$18,"",IF('3. Year by Year'!$B$3="Smooth",IF('2. Results'!$C$35="Both claim at 62",INDEX(ENG_S1_BASE!$BR$2:$BR$42,$A27+1),IF('2. Results'!$C$35="Both claim at 67",INDEX(ENG_S2_BASE!$BR$2:$BR$42,$A27+1),INDEX(ENG_S3_BASE!$BR$2:$BR$42,$A27+1))),IF('2. Results'!$C$35="Both claim at 62",INDEX(ENG_S1_STRESS!$BR$2:$BR$42,$A27+1),IF('2. Results'!$C$35="Both claim at 67",INDEX(ENG_S2_STRESS!$BR$2:$BR$42,$A27+1),INDEX(ENG_S3_STRESS!$BR$2:$BR$42,$A27+1)))))</f>
        <v/>
      </c>
      <c r="L27" s="47">
        <f>IF(Tables!$B$13+$A27&gt;Tables!$B$18,"",IF('3. Year by Year'!$B$3="Smooth",IF('2. Results'!$C$35="Both claim at 62",INDEX(ENG_S1_BASE!$BT$2:$BT$42,$A27+1),IF('2. Results'!$C$35="Both claim at 67",INDEX(ENG_S2_BASE!$BT$2:$BT$42,$A27+1),INDEX(ENG_S3_BASE!$BT$2:$BT$42,$A27+1))),IF('2. Results'!$C$35="Both claim at 62",INDEX(ENG_S1_STRESS!$BT$2:$BT$42,$A27+1),IF('2. Results'!$C$35="Both claim at 67",INDEX(ENG_S2_STRESS!$BT$2:$BT$42,$A27+1),INDEX(ENG_S3_STRESS!$BT$2:$BT$42,$A27+1)))))</f>
        <v/>
      </c>
      <c r="M27" s="47">
        <f>IF(Tables!$B$13+$A27&gt;Tables!$B$18,"",IF('3. Year by Year'!$B$3="Smooth",IF('2. Results'!$C$35="Both claim at 62",INDEX(ENG_S1_BASE!$BX$2:$BX$42,$A27+1),IF('2. Results'!$C$35="Both claim at 67",INDEX(ENG_S2_BASE!$BX$2:$BX$42,$A27+1),INDEX(ENG_S3_BASE!$BX$2:$BX$42,$A27+1))),IF('2. Results'!$C$35="Both claim at 62",INDEX(ENG_S1_STRESS!$BX$2:$BX$42,$A27+1),IF('2. Results'!$C$35="Both claim at 67",INDEX(ENG_S2_STRESS!$BX$2:$BX$42,$A27+1),INDEX(ENG_S3_STRESS!$BX$2:$BX$42,$A27+1)))))</f>
        <v/>
      </c>
      <c r="N27" s="47">
        <f>IF(Tables!$B$13+$A27&gt;Tables!$B$18,"",IF('3. Year by Year'!$B$3="Smooth",IF('2. Results'!$C$35="Both claim at 62",INDEX(ENG_S1_BASE!$BY$2:$BY$42,$A27+1),IF('2. Results'!$C$35="Both claim at 67",INDEX(ENG_S2_BASE!$BY$2:$BY$42,$A27+1),INDEX(ENG_S3_BASE!$BY$2:$BY$42,$A27+1))),IF('2. Results'!$C$35="Both claim at 62",INDEX(ENG_S1_STRESS!$BY$2:$BY$42,$A27+1),IF('2. Results'!$C$35="Both claim at 67",INDEX(ENG_S2_STRESS!$BY$2:$BY$42,$A27+1),INDEX(ENG_S3_STRESS!$BY$2:$BY$42,$A27+1)))))</f>
        <v/>
      </c>
      <c r="O27" s="47">
        <f>IF(Tables!$B$13+$A27&gt;Tables!$B$18,"",IF('3. Year by Year'!$B$3="Smooth",IF('2. Results'!$C$35="Both claim at 62",INDEX(ENG_S1_BASE!$BZ$2:$BZ$42,$A27+1),IF('2. Results'!$C$35="Both claim at 67",INDEX(ENG_S2_BASE!$BZ$2:$BZ$42,$A27+1),INDEX(ENG_S3_BASE!$BZ$2:$BZ$42,$A27+1))),IF('2. Results'!$C$35="Both claim at 62",INDEX(ENG_S1_STRESS!$BZ$2:$BZ$42,$A27+1),IF('2. Results'!$C$35="Both claim at 67",INDEX(ENG_S2_STRESS!$BZ$2:$BZ$42,$A27+1),INDEX(ENG_S3_STRESS!$BZ$2:$BZ$42,$A27+1)))))</f>
        <v/>
      </c>
      <c r="P27" s="47">
        <f>IF(Tables!$B$13+$A27&gt;Tables!$B$18,"",IF('3. Year by Year'!$B$3="Smooth",IF('2. Results'!$C$35="Both claim at 62",INDEX(ENG_S1_BASE!$CA$2:$CA$42,$A27+1),IF('2. Results'!$C$35="Both claim at 67",INDEX(ENG_S2_BASE!$CA$2:$CA$42,$A27+1),INDEX(ENG_S3_BASE!$CA$2:$CA$42,$A27+1))),IF('2. Results'!$C$35="Both claim at 62",INDEX(ENG_S1_STRESS!$CA$2:$CA$42,$A27+1),IF('2. Results'!$C$35="Both claim at 67",INDEX(ENG_S2_STRESS!$CA$2:$CA$42,$A27+1),INDEX(ENG_S3_STRESS!$CA$2:$CA$42,$A27+1)))))</f>
        <v/>
      </c>
      <c r="Q27" s="47">
        <f>IF(Tables!$B$13+$A27&gt;Tables!$B$18,"",IF('3. Year by Year'!$B$3="Smooth",IF('2. Results'!$C$35="Both claim at 62",INDEX(ENG_S1_BASE!$CB$2:$CB$42,$A27+1),IF('2. Results'!$C$35="Both claim at 67",INDEX(ENG_S2_BASE!$CB$2:$CB$42,$A27+1),INDEX(ENG_S3_BASE!$CB$2:$CB$42,$A27+1))),IF('2. Results'!$C$35="Both claim at 62",INDEX(ENG_S1_STRESS!$CB$2:$CB$42,$A27+1),IF('2. Results'!$C$35="Both claim at 67",INDEX(ENG_S2_STRESS!$CB$2:$CB$42,$A27+1),INDEX(ENG_S3_STRESS!$CB$2:$CB$42,$A27+1)))))</f>
        <v/>
      </c>
      <c r="R27" s="47">
        <f>IF(Tables!$B$13+$A27&gt;Tables!$B$18,"",IF('3. Year by Year'!$B$3="Smooth",IF('2. Results'!$C$35="Both claim at 62",INDEX(ENG_S1_BASE!$CC$2:$CC$42,$A27+1),IF('2. Results'!$C$35="Both claim at 67",INDEX(ENG_S2_BASE!$CC$2:$CC$42,$A27+1),INDEX(ENG_S3_BASE!$CC$2:$CC$42,$A27+1))),IF('2. Results'!$C$35="Both claim at 62",INDEX(ENG_S1_STRESS!$CC$2:$CC$42,$A27+1),IF('2. Results'!$C$35="Both claim at 67",INDEX(ENG_S2_STRESS!$CC$2:$CC$42,$A27+1),INDEX(ENG_S3_STRESS!$CC$2:$CC$42,$A27+1)))))</f>
        <v/>
      </c>
    </row>
    <row r="28">
      <c r="A28" s="43" t="n">
        <v>22</v>
      </c>
      <c r="B28" s="51">
        <f>IF(Tables!$B$13+$A28&gt;Tables!$B$18,"",Tables!$B$14+$A28)</f>
        <v/>
      </c>
      <c r="C28" s="51">
        <f>IF(Tables!$B$13+$A28&gt;Tables!$B$18,"",Tables!$B$13+$A28)</f>
        <v/>
      </c>
      <c r="D28" s="55">
        <f>IF(Tables!$B$13+$A28&gt;Tables!$B$18,"",IF('3. Year by Year'!$B$3="Smooth",IF('2. Results'!$C$35="Both claim at 62",INDEX(ENG_S1_BASE!$D$2:$D$42,$A28+1),IF('2. Results'!$C$35="Both claim at 67",INDEX(ENG_S2_BASE!$D$2:$D$42,$A28+1),INDEX(ENG_S3_BASE!$D$2:$D$42,$A28+1))),IF('2. Results'!$C$35="Both claim at 62",INDEX(ENG_S1_STRESS!$D$2:$D$42,$A28+1),IF('2. Results'!$C$35="Both claim at 67",INDEX(ENG_S2_STRESS!$D$2:$D$42,$A28+1),INDEX(ENG_S3_STRESS!$D$2:$D$42,$A28+1)))))</f>
        <v/>
      </c>
      <c r="E28" s="50">
        <f>IF(Tables!$B$13+$A28&gt;Tables!$B$18,"",IF('3. Year by Year'!$B$3="Smooth",IF('2. Results'!$C$35="Both claim at 62",INDEX(ENG_S1_BASE!$G$2:$G$42,$A28+1),IF('2. Results'!$C$35="Both claim at 67",INDEX(ENG_S2_BASE!$G$2:$G$42,$A28+1),INDEX(ENG_S3_BASE!$G$2:$G$42,$A28+1))),IF('2. Results'!$C$35="Both claim at 62",INDEX(ENG_S1_STRESS!$G$2:$G$42,$A28+1),IF('2. Results'!$C$35="Both claim at 67",INDEX(ENG_S2_STRESS!$G$2:$G$42,$A28+1),INDEX(ENG_S3_STRESS!$G$2:$G$42,$A28+1)))))</f>
        <v/>
      </c>
      <c r="F28" s="50">
        <f>IF(Tables!$B$13+$A28&gt;Tables!$B$18,"",IF('3. Year by Year'!$B$3="Smooth",IF('2. Results'!$C$35="Both claim at 62",INDEX(ENG_S1_BASE!$H$2:$H$42,$A28+1),IF('2. Results'!$C$35="Both claim at 67",INDEX(ENG_S2_BASE!$H$2:$H$42,$A28+1),INDEX(ENG_S3_BASE!$H$2:$H$42,$A28+1))),IF('2. Results'!$C$35="Both claim at 62",INDEX(ENG_S1_STRESS!$H$2:$H$42,$A28+1),IF('2. Results'!$C$35="Both claim at 67",INDEX(ENG_S2_STRESS!$H$2:$H$42,$A28+1),INDEX(ENG_S3_STRESS!$H$2:$H$42,$A28+1)))))</f>
        <v/>
      </c>
      <c r="G28" s="50">
        <f>IF(Tables!$B$13+$A28&gt;Tables!$B$18,"",IF('3. Year by Year'!$B$3="Smooth",IF('2. Results'!$C$35="Both claim at 62",INDEX(ENG_S1_BASE!$L$2:$L$42,$A28+1),IF('2. Results'!$C$35="Both claim at 67",INDEX(ENG_S2_BASE!$L$2:$L$42,$A28+1),INDEX(ENG_S3_BASE!$L$2:$L$42,$A28+1))),IF('2. Results'!$C$35="Both claim at 62",INDEX(ENG_S1_STRESS!$L$2:$L$42,$A28+1),IF('2. Results'!$C$35="Both claim at 67",INDEX(ENG_S2_STRESS!$L$2:$L$42,$A28+1),INDEX(ENG_S3_STRESS!$L$2:$L$42,$A28+1)))))</f>
        <v/>
      </c>
      <c r="H28" s="50">
        <f>IF(Tables!$B$13+$A28&gt;Tables!$B$18,"",IF('3. Year by Year'!$B$3="Smooth",IF('2. Results'!$C$35="Both claim at 62",INDEX(ENG_S1_BASE!$BQ$2:$BQ$42,$A28+1),IF('2. Results'!$C$35="Both claim at 67",INDEX(ENG_S2_BASE!$BQ$2:$BQ$42,$A28+1),INDEX(ENG_S3_BASE!$BQ$2:$BQ$42,$A28+1))),IF('2. Results'!$C$35="Both claim at 62",INDEX(ENG_S1_STRESS!$BQ$2:$BQ$42,$A28+1),IF('2. Results'!$C$35="Both claim at 67",INDEX(ENG_S2_STRESS!$BQ$2:$BQ$42,$A28+1),INDEX(ENG_S3_STRESS!$BQ$2:$BQ$42,$A28+1)))))</f>
        <v/>
      </c>
      <c r="I28" s="50">
        <f>IF(Tables!$B$13+$A28&gt;Tables!$B$18,"",IF('3. Year by Year'!$B$3="Smooth",IF('2. Results'!$C$35="Both claim at 62",INDEX(ENG_S1_BASE!$Q$2:$Q$42,$A28+1),IF('2. Results'!$C$35="Both claim at 67",INDEX(ENG_S2_BASE!$Q$2:$Q$42,$A28+1),INDEX(ENG_S3_BASE!$Q$2:$Q$42,$A28+1))),IF('2. Results'!$C$35="Both claim at 62",INDEX(ENG_S1_STRESS!$Q$2:$Q$42,$A28+1),IF('2. Results'!$C$35="Both claim at 67",INDEX(ENG_S2_STRESS!$Q$2:$Q$42,$A28+1),INDEX(ENG_S3_STRESS!$Q$2:$Q$42,$A28+1)))))</f>
        <v/>
      </c>
      <c r="J28" s="50">
        <f>IF(Tables!$B$13+$A28&gt;Tables!$B$18,"",IF('3. Year by Year'!$B$3="Smooth",IF('2. Results'!$C$35="Both claim at 62",INDEX(ENG_S1_BASE!$BV$2:$BV$42,$A28+1),IF('2. Results'!$C$35="Both claim at 67",INDEX(ENG_S2_BASE!$BV$2:$BV$42,$A28+1),INDEX(ENG_S3_BASE!$BV$2:$BV$42,$A28+1))),IF('2. Results'!$C$35="Both claim at 62",INDEX(ENG_S1_STRESS!$BV$2:$BV$42,$A28+1),IF('2. Results'!$C$35="Both claim at 67",INDEX(ENG_S2_STRESS!$BV$2:$BV$42,$A28+1),INDEX(ENG_S3_STRESS!$BV$2:$BV$42,$A28+1)))))</f>
        <v/>
      </c>
      <c r="K28" s="50">
        <f>IF(Tables!$B$13+$A28&gt;Tables!$B$18,"",IF('3. Year by Year'!$B$3="Smooth",IF('2. Results'!$C$35="Both claim at 62",INDEX(ENG_S1_BASE!$BR$2:$BR$42,$A28+1),IF('2. Results'!$C$35="Both claim at 67",INDEX(ENG_S2_BASE!$BR$2:$BR$42,$A28+1),INDEX(ENG_S3_BASE!$BR$2:$BR$42,$A28+1))),IF('2. Results'!$C$35="Both claim at 62",INDEX(ENG_S1_STRESS!$BR$2:$BR$42,$A28+1),IF('2. Results'!$C$35="Both claim at 67",INDEX(ENG_S2_STRESS!$BR$2:$BR$42,$A28+1),INDEX(ENG_S3_STRESS!$BR$2:$BR$42,$A28+1)))))</f>
        <v/>
      </c>
      <c r="L28" s="50">
        <f>IF(Tables!$B$13+$A28&gt;Tables!$B$18,"",IF('3. Year by Year'!$B$3="Smooth",IF('2. Results'!$C$35="Both claim at 62",INDEX(ENG_S1_BASE!$BT$2:$BT$42,$A28+1),IF('2. Results'!$C$35="Both claim at 67",INDEX(ENG_S2_BASE!$BT$2:$BT$42,$A28+1),INDEX(ENG_S3_BASE!$BT$2:$BT$42,$A28+1))),IF('2. Results'!$C$35="Both claim at 62",INDEX(ENG_S1_STRESS!$BT$2:$BT$42,$A28+1),IF('2. Results'!$C$35="Both claim at 67",INDEX(ENG_S2_STRESS!$BT$2:$BT$42,$A28+1),INDEX(ENG_S3_STRESS!$BT$2:$BT$42,$A28+1)))))</f>
        <v/>
      </c>
      <c r="M28" s="50">
        <f>IF(Tables!$B$13+$A28&gt;Tables!$B$18,"",IF('3. Year by Year'!$B$3="Smooth",IF('2. Results'!$C$35="Both claim at 62",INDEX(ENG_S1_BASE!$BX$2:$BX$42,$A28+1),IF('2. Results'!$C$35="Both claim at 67",INDEX(ENG_S2_BASE!$BX$2:$BX$42,$A28+1),INDEX(ENG_S3_BASE!$BX$2:$BX$42,$A28+1))),IF('2. Results'!$C$35="Both claim at 62",INDEX(ENG_S1_STRESS!$BX$2:$BX$42,$A28+1),IF('2. Results'!$C$35="Both claim at 67",INDEX(ENG_S2_STRESS!$BX$2:$BX$42,$A28+1),INDEX(ENG_S3_STRESS!$BX$2:$BX$42,$A28+1)))))</f>
        <v/>
      </c>
      <c r="N28" s="50">
        <f>IF(Tables!$B$13+$A28&gt;Tables!$B$18,"",IF('3. Year by Year'!$B$3="Smooth",IF('2. Results'!$C$35="Both claim at 62",INDEX(ENG_S1_BASE!$BY$2:$BY$42,$A28+1),IF('2. Results'!$C$35="Both claim at 67",INDEX(ENG_S2_BASE!$BY$2:$BY$42,$A28+1),INDEX(ENG_S3_BASE!$BY$2:$BY$42,$A28+1))),IF('2. Results'!$C$35="Both claim at 62",INDEX(ENG_S1_STRESS!$BY$2:$BY$42,$A28+1),IF('2. Results'!$C$35="Both claim at 67",INDEX(ENG_S2_STRESS!$BY$2:$BY$42,$A28+1),INDEX(ENG_S3_STRESS!$BY$2:$BY$42,$A28+1)))))</f>
        <v/>
      </c>
      <c r="O28" s="50">
        <f>IF(Tables!$B$13+$A28&gt;Tables!$B$18,"",IF('3. Year by Year'!$B$3="Smooth",IF('2. Results'!$C$35="Both claim at 62",INDEX(ENG_S1_BASE!$BZ$2:$BZ$42,$A28+1),IF('2. Results'!$C$35="Both claim at 67",INDEX(ENG_S2_BASE!$BZ$2:$BZ$42,$A28+1),INDEX(ENG_S3_BASE!$BZ$2:$BZ$42,$A28+1))),IF('2. Results'!$C$35="Both claim at 62",INDEX(ENG_S1_STRESS!$BZ$2:$BZ$42,$A28+1),IF('2. Results'!$C$35="Both claim at 67",INDEX(ENG_S2_STRESS!$BZ$2:$BZ$42,$A28+1),INDEX(ENG_S3_STRESS!$BZ$2:$BZ$42,$A28+1)))))</f>
        <v/>
      </c>
      <c r="P28" s="50">
        <f>IF(Tables!$B$13+$A28&gt;Tables!$B$18,"",IF('3. Year by Year'!$B$3="Smooth",IF('2. Results'!$C$35="Both claim at 62",INDEX(ENG_S1_BASE!$CA$2:$CA$42,$A28+1),IF('2. Results'!$C$35="Both claim at 67",INDEX(ENG_S2_BASE!$CA$2:$CA$42,$A28+1),INDEX(ENG_S3_BASE!$CA$2:$CA$42,$A28+1))),IF('2. Results'!$C$35="Both claim at 62",INDEX(ENG_S1_STRESS!$CA$2:$CA$42,$A28+1),IF('2. Results'!$C$35="Both claim at 67",INDEX(ENG_S2_STRESS!$CA$2:$CA$42,$A28+1),INDEX(ENG_S3_STRESS!$CA$2:$CA$42,$A28+1)))))</f>
        <v/>
      </c>
      <c r="Q28" s="50">
        <f>IF(Tables!$B$13+$A28&gt;Tables!$B$18,"",IF('3. Year by Year'!$B$3="Smooth",IF('2. Results'!$C$35="Both claim at 62",INDEX(ENG_S1_BASE!$CB$2:$CB$42,$A28+1),IF('2. Results'!$C$35="Both claim at 67",INDEX(ENG_S2_BASE!$CB$2:$CB$42,$A28+1),INDEX(ENG_S3_BASE!$CB$2:$CB$42,$A28+1))),IF('2. Results'!$C$35="Both claim at 62",INDEX(ENG_S1_STRESS!$CB$2:$CB$42,$A28+1),IF('2. Results'!$C$35="Both claim at 67",INDEX(ENG_S2_STRESS!$CB$2:$CB$42,$A28+1),INDEX(ENG_S3_STRESS!$CB$2:$CB$42,$A28+1)))))</f>
        <v/>
      </c>
      <c r="R28" s="50">
        <f>IF(Tables!$B$13+$A28&gt;Tables!$B$18,"",IF('3. Year by Year'!$B$3="Smooth",IF('2. Results'!$C$35="Both claim at 62",INDEX(ENG_S1_BASE!$CC$2:$CC$42,$A28+1),IF('2. Results'!$C$35="Both claim at 67",INDEX(ENG_S2_BASE!$CC$2:$CC$42,$A28+1),INDEX(ENG_S3_BASE!$CC$2:$CC$42,$A28+1))),IF('2. Results'!$C$35="Both claim at 62",INDEX(ENG_S1_STRESS!$CC$2:$CC$42,$A28+1),IF('2. Results'!$C$35="Both claim at 67",INDEX(ENG_S2_STRESS!$CC$2:$CC$42,$A28+1),INDEX(ENG_S3_STRESS!$CC$2:$CC$42,$A28+1)))))</f>
        <v/>
      </c>
    </row>
    <row r="29">
      <c r="A29" s="43" t="n">
        <v>23</v>
      </c>
      <c r="B29" s="48">
        <f>IF(Tables!$B$13+$A29&gt;Tables!$B$18,"",Tables!$B$14+$A29)</f>
        <v/>
      </c>
      <c r="C29" s="48">
        <f>IF(Tables!$B$13+$A29&gt;Tables!$B$18,"",Tables!$B$13+$A29)</f>
        <v/>
      </c>
      <c r="D29" s="56">
        <f>IF(Tables!$B$13+$A29&gt;Tables!$B$18,"",IF('3. Year by Year'!$B$3="Smooth",IF('2. Results'!$C$35="Both claim at 62",INDEX(ENG_S1_BASE!$D$2:$D$42,$A29+1),IF('2. Results'!$C$35="Both claim at 67",INDEX(ENG_S2_BASE!$D$2:$D$42,$A29+1),INDEX(ENG_S3_BASE!$D$2:$D$42,$A29+1))),IF('2. Results'!$C$35="Both claim at 62",INDEX(ENG_S1_STRESS!$D$2:$D$42,$A29+1),IF('2. Results'!$C$35="Both claim at 67",INDEX(ENG_S2_STRESS!$D$2:$D$42,$A29+1),INDEX(ENG_S3_STRESS!$D$2:$D$42,$A29+1)))))</f>
        <v/>
      </c>
      <c r="E29" s="47">
        <f>IF(Tables!$B$13+$A29&gt;Tables!$B$18,"",IF('3. Year by Year'!$B$3="Smooth",IF('2. Results'!$C$35="Both claim at 62",INDEX(ENG_S1_BASE!$G$2:$G$42,$A29+1),IF('2. Results'!$C$35="Both claim at 67",INDEX(ENG_S2_BASE!$G$2:$G$42,$A29+1),INDEX(ENG_S3_BASE!$G$2:$G$42,$A29+1))),IF('2. Results'!$C$35="Both claim at 62",INDEX(ENG_S1_STRESS!$G$2:$G$42,$A29+1),IF('2. Results'!$C$35="Both claim at 67",INDEX(ENG_S2_STRESS!$G$2:$G$42,$A29+1),INDEX(ENG_S3_STRESS!$G$2:$G$42,$A29+1)))))</f>
        <v/>
      </c>
      <c r="F29" s="47">
        <f>IF(Tables!$B$13+$A29&gt;Tables!$B$18,"",IF('3. Year by Year'!$B$3="Smooth",IF('2. Results'!$C$35="Both claim at 62",INDEX(ENG_S1_BASE!$H$2:$H$42,$A29+1),IF('2. Results'!$C$35="Both claim at 67",INDEX(ENG_S2_BASE!$H$2:$H$42,$A29+1),INDEX(ENG_S3_BASE!$H$2:$H$42,$A29+1))),IF('2. Results'!$C$35="Both claim at 62",INDEX(ENG_S1_STRESS!$H$2:$H$42,$A29+1),IF('2. Results'!$C$35="Both claim at 67",INDEX(ENG_S2_STRESS!$H$2:$H$42,$A29+1),INDEX(ENG_S3_STRESS!$H$2:$H$42,$A29+1)))))</f>
        <v/>
      </c>
      <c r="G29" s="47">
        <f>IF(Tables!$B$13+$A29&gt;Tables!$B$18,"",IF('3. Year by Year'!$B$3="Smooth",IF('2. Results'!$C$35="Both claim at 62",INDEX(ENG_S1_BASE!$L$2:$L$42,$A29+1),IF('2. Results'!$C$35="Both claim at 67",INDEX(ENG_S2_BASE!$L$2:$L$42,$A29+1),INDEX(ENG_S3_BASE!$L$2:$L$42,$A29+1))),IF('2. Results'!$C$35="Both claim at 62",INDEX(ENG_S1_STRESS!$L$2:$L$42,$A29+1),IF('2. Results'!$C$35="Both claim at 67",INDEX(ENG_S2_STRESS!$L$2:$L$42,$A29+1),INDEX(ENG_S3_STRESS!$L$2:$L$42,$A29+1)))))</f>
        <v/>
      </c>
      <c r="H29" s="47">
        <f>IF(Tables!$B$13+$A29&gt;Tables!$B$18,"",IF('3. Year by Year'!$B$3="Smooth",IF('2. Results'!$C$35="Both claim at 62",INDEX(ENG_S1_BASE!$BQ$2:$BQ$42,$A29+1),IF('2. Results'!$C$35="Both claim at 67",INDEX(ENG_S2_BASE!$BQ$2:$BQ$42,$A29+1),INDEX(ENG_S3_BASE!$BQ$2:$BQ$42,$A29+1))),IF('2. Results'!$C$35="Both claim at 62",INDEX(ENG_S1_STRESS!$BQ$2:$BQ$42,$A29+1),IF('2. Results'!$C$35="Both claim at 67",INDEX(ENG_S2_STRESS!$BQ$2:$BQ$42,$A29+1),INDEX(ENG_S3_STRESS!$BQ$2:$BQ$42,$A29+1)))))</f>
        <v/>
      </c>
      <c r="I29" s="47">
        <f>IF(Tables!$B$13+$A29&gt;Tables!$B$18,"",IF('3. Year by Year'!$B$3="Smooth",IF('2. Results'!$C$35="Both claim at 62",INDEX(ENG_S1_BASE!$Q$2:$Q$42,$A29+1),IF('2. Results'!$C$35="Both claim at 67",INDEX(ENG_S2_BASE!$Q$2:$Q$42,$A29+1),INDEX(ENG_S3_BASE!$Q$2:$Q$42,$A29+1))),IF('2. Results'!$C$35="Both claim at 62",INDEX(ENG_S1_STRESS!$Q$2:$Q$42,$A29+1),IF('2. Results'!$C$35="Both claim at 67",INDEX(ENG_S2_STRESS!$Q$2:$Q$42,$A29+1),INDEX(ENG_S3_STRESS!$Q$2:$Q$42,$A29+1)))))</f>
        <v/>
      </c>
      <c r="J29" s="47">
        <f>IF(Tables!$B$13+$A29&gt;Tables!$B$18,"",IF('3. Year by Year'!$B$3="Smooth",IF('2. Results'!$C$35="Both claim at 62",INDEX(ENG_S1_BASE!$BV$2:$BV$42,$A29+1),IF('2. Results'!$C$35="Both claim at 67",INDEX(ENG_S2_BASE!$BV$2:$BV$42,$A29+1),INDEX(ENG_S3_BASE!$BV$2:$BV$42,$A29+1))),IF('2. Results'!$C$35="Both claim at 62",INDEX(ENG_S1_STRESS!$BV$2:$BV$42,$A29+1),IF('2. Results'!$C$35="Both claim at 67",INDEX(ENG_S2_STRESS!$BV$2:$BV$42,$A29+1),INDEX(ENG_S3_STRESS!$BV$2:$BV$42,$A29+1)))))</f>
        <v/>
      </c>
      <c r="K29" s="47">
        <f>IF(Tables!$B$13+$A29&gt;Tables!$B$18,"",IF('3. Year by Year'!$B$3="Smooth",IF('2. Results'!$C$35="Both claim at 62",INDEX(ENG_S1_BASE!$BR$2:$BR$42,$A29+1),IF('2. Results'!$C$35="Both claim at 67",INDEX(ENG_S2_BASE!$BR$2:$BR$42,$A29+1),INDEX(ENG_S3_BASE!$BR$2:$BR$42,$A29+1))),IF('2. Results'!$C$35="Both claim at 62",INDEX(ENG_S1_STRESS!$BR$2:$BR$42,$A29+1),IF('2. Results'!$C$35="Both claim at 67",INDEX(ENG_S2_STRESS!$BR$2:$BR$42,$A29+1),INDEX(ENG_S3_STRESS!$BR$2:$BR$42,$A29+1)))))</f>
        <v/>
      </c>
      <c r="L29" s="47">
        <f>IF(Tables!$B$13+$A29&gt;Tables!$B$18,"",IF('3. Year by Year'!$B$3="Smooth",IF('2. Results'!$C$35="Both claim at 62",INDEX(ENG_S1_BASE!$BT$2:$BT$42,$A29+1),IF('2. Results'!$C$35="Both claim at 67",INDEX(ENG_S2_BASE!$BT$2:$BT$42,$A29+1),INDEX(ENG_S3_BASE!$BT$2:$BT$42,$A29+1))),IF('2. Results'!$C$35="Both claim at 62",INDEX(ENG_S1_STRESS!$BT$2:$BT$42,$A29+1),IF('2. Results'!$C$35="Both claim at 67",INDEX(ENG_S2_STRESS!$BT$2:$BT$42,$A29+1),INDEX(ENG_S3_STRESS!$BT$2:$BT$42,$A29+1)))))</f>
        <v/>
      </c>
      <c r="M29" s="47">
        <f>IF(Tables!$B$13+$A29&gt;Tables!$B$18,"",IF('3. Year by Year'!$B$3="Smooth",IF('2. Results'!$C$35="Both claim at 62",INDEX(ENG_S1_BASE!$BX$2:$BX$42,$A29+1),IF('2. Results'!$C$35="Both claim at 67",INDEX(ENG_S2_BASE!$BX$2:$BX$42,$A29+1),INDEX(ENG_S3_BASE!$BX$2:$BX$42,$A29+1))),IF('2. Results'!$C$35="Both claim at 62",INDEX(ENG_S1_STRESS!$BX$2:$BX$42,$A29+1),IF('2. Results'!$C$35="Both claim at 67",INDEX(ENG_S2_STRESS!$BX$2:$BX$42,$A29+1),INDEX(ENG_S3_STRESS!$BX$2:$BX$42,$A29+1)))))</f>
        <v/>
      </c>
      <c r="N29" s="47">
        <f>IF(Tables!$B$13+$A29&gt;Tables!$B$18,"",IF('3. Year by Year'!$B$3="Smooth",IF('2. Results'!$C$35="Both claim at 62",INDEX(ENG_S1_BASE!$BY$2:$BY$42,$A29+1),IF('2. Results'!$C$35="Both claim at 67",INDEX(ENG_S2_BASE!$BY$2:$BY$42,$A29+1),INDEX(ENG_S3_BASE!$BY$2:$BY$42,$A29+1))),IF('2. Results'!$C$35="Both claim at 62",INDEX(ENG_S1_STRESS!$BY$2:$BY$42,$A29+1),IF('2. Results'!$C$35="Both claim at 67",INDEX(ENG_S2_STRESS!$BY$2:$BY$42,$A29+1),INDEX(ENG_S3_STRESS!$BY$2:$BY$42,$A29+1)))))</f>
        <v/>
      </c>
      <c r="O29" s="47">
        <f>IF(Tables!$B$13+$A29&gt;Tables!$B$18,"",IF('3. Year by Year'!$B$3="Smooth",IF('2. Results'!$C$35="Both claim at 62",INDEX(ENG_S1_BASE!$BZ$2:$BZ$42,$A29+1),IF('2. Results'!$C$35="Both claim at 67",INDEX(ENG_S2_BASE!$BZ$2:$BZ$42,$A29+1),INDEX(ENG_S3_BASE!$BZ$2:$BZ$42,$A29+1))),IF('2. Results'!$C$35="Both claim at 62",INDEX(ENG_S1_STRESS!$BZ$2:$BZ$42,$A29+1),IF('2. Results'!$C$35="Both claim at 67",INDEX(ENG_S2_STRESS!$BZ$2:$BZ$42,$A29+1),INDEX(ENG_S3_STRESS!$BZ$2:$BZ$42,$A29+1)))))</f>
        <v/>
      </c>
      <c r="P29" s="47">
        <f>IF(Tables!$B$13+$A29&gt;Tables!$B$18,"",IF('3. Year by Year'!$B$3="Smooth",IF('2. Results'!$C$35="Both claim at 62",INDEX(ENG_S1_BASE!$CA$2:$CA$42,$A29+1),IF('2. Results'!$C$35="Both claim at 67",INDEX(ENG_S2_BASE!$CA$2:$CA$42,$A29+1),INDEX(ENG_S3_BASE!$CA$2:$CA$42,$A29+1))),IF('2. Results'!$C$35="Both claim at 62",INDEX(ENG_S1_STRESS!$CA$2:$CA$42,$A29+1),IF('2. Results'!$C$35="Both claim at 67",INDEX(ENG_S2_STRESS!$CA$2:$CA$42,$A29+1),INDEX(ENG_S3_STRESS!$CA$2:$CA$42,$A29+1)))))</f>
        <v/>
      </c>
      <c r="Q29" s="47">
        <f>IF(Tables!$B$13+$A29&gt;Tables!$B$18,"",IF('3. Year by Year'!$B$3="Smooth",IF('2. Results'!$C$35="Both claim at 62",INDEX(ENG_S1_BASE!$CB$2:$CB$42,$A29+1),IF('2. Results'!$C$35="Both claim at 67",INDEX(ENG_S2_BASE!$CB$2:$CB$42,$A29+1),INDEX(ENG_S3_BASE!$CB$2:$CB$42,$A29+1))),IF('2. Results'!$C$35="Both claim at 62",INDEX(ENG_S1_STRESS!$CB$2:$CB$42,$A29+1),IF('2. Results'!$C$35="Both claim at 67",INDEX(ENG_S2_STRESS!$CB$2:$CB$42,$A29+1),INDEX(ENG_S3_STRESS!$CB$2:$CB$42,$A29+1)))))</f>
        <v/>
      </c>
      <c r="R29" s="47">
        <f>IF(Tables!$B$13+$A29&gt;Tables!$B$18,"",IF('3. Year by Year'!$B$3="Smooth",IF('2. Results'!$C$35="Both claim at 62",INDEX(ENG_S1_BASE!$CC$2:$CC$42,$A29+1),IF('2. Results'!$C$35="Both claim at 67",INDEX(ENG_S2_BASE!$CC$2:$CC$42,$A29+1),INDEX(ENG_S3_BASE!$CC$2:$CC$42,$A29+1))),IF('2. Results'!$C$35="Both claim at 62",INDEX(ENG_S1_STRESS!$CC$2:$CC$42,$A29+1),IF('2. Results'!$C$35="Both claim at 67",INDEX(ENG_S2_STRESS!$CC$2:$CC$42,$A29+1),INDEX(ENG_S3_STRESS!$CC$2:$CC$42,$A29+1)))))</f>
        <v/>
      </c>
    </row>
    <row r="30">
      <c r="A30" s="43" t="n">
        <v>24</v>
      </c>
      <c r="B30" s="51">
        <f>IF(Tables!$B$13+$A30&gt;Tables!$B$18,"",Tables!$B$14+$A30)</f>
        <v/>
      </c>
      <c r="C30" s="51">
        <f>IF(Tables!$B$13+$A30&gt;Tables!$B$18,"",Tables!$B$13+$A30)</f>
        <v/>
      </c>
      <c r="D30" s="55">
        <f>IF(Tables!$B$13+$A30&gt;Tables!$B$18,"",IF('3. Year by Year'!$B$3="Smooth",IF('2. Results'!$C$35="Both claim at 62",INDEX(ENG_S1_BASE!$D$2:$D$42,$A30+1),IF('2. Results'!$C$35="Both claim at 67",INDEX(ENG_S2_BASE!$D$2:$D$42,$A30+1),INDEX(ENG_S3_BASE!$D$2:$D$42,$A30+1))),IF('2. Results'!$C$35="Both claim at 62",INDEX(ENG_S1_STRESS!$D$2:$D$42,$A30+1),IF('2. Results'!$C$35="Both claim at 67",INDEX(ENG_S2_STRESS!$D$2:$D$42,$A30+1),INDEX(ENG_S3_STRESS!$D$2:$D$42,$A30+1)))))</f>
        <v/>
      </c>
      <c r="E30" s="50">
        <f>IF(Tables!$B$13+$A30&gt;Tables!$B$18,"",IF('3. Year by Year'!$B$3="Smooth",IF('2. Results'!$C$35="Both claim at 62",INDEX(ENG_S1_BASE!$G$2:$G$42,$A30+1),IF('2. Results'!$C$35="Both claim at 67",INDEX(ENG_S2_BASE!$G$2:$G$42,$A30+1),INDEX(ENG_S3_BASE!$G$2:$G$42,$A30+1))),IF('2. Results'!$C$35="Both claim at 62",INDEX(ENG_S1_STRESS!$G$2:$G$42,$A30+1),IF('2. Results'!$C$35="Both claim at 67",INDEX(ENG_S2_STRESS!$G$2:$G$42,$A30+1),INDEX(ENG_S3_STRESS!$G$2:$G$42,$A30+1)))))</f>
        <v/>
      </c>
      <c r="F30" s="50">
        <f>IF(Tables!$B$13+$A30&gt;Tables!$B$18,"",IF('3. Year by Year'!$B$3="Smooth",IF('2. Results'!$C$35="Both claim at 62",INDEX(ENG_S1_BASE!$H$2:$H$42,$A30+1),IF('2. Results'!$C$35="Both claim at 67",INDEX(ENG_S2_BASE!$H$2:$H$42,$A30+1),INDEX(ENG_S3_BASE!$H$2:$H$42,$A30+1))),IF('2. Results'!$C$35="Both claim at 62",INDEX(ENG_S1_STRESS!$H$2:$H$42,$A30+1),IF('2. Results'!$C$35="Both claim at 67",INDEX(ENG_S2_STRESS!$H$2:$H$42,$A30+1),INDEX(ENG_S3_STRESS!$H$2:$H$42,$A30+1)))))</f>
        <v/>
      </c>
      <c r="G30" s="50">
        <f>IF(Tables!$B$13+$A30&gt;Tables!$B$18,"",IF('3. Year by Year'!$B$3="Smooth",IF('2. Results'!$C$35="Both claim at 62",INDEX(ENG_S1_BASE!$L$2:$L$42,$A30+1),IF('2. Results'!$C$35="Both claim at 67",INDEX(ENG_S2_BASE!$L$2:$L$42,$A30+1),INDEX(ENG_S3_BASE!$L$2:$L$42,$A30+1))),IF('2. Results'!$C$35="Both claim at 62",INDEX(ENG_S1_STRESS!$L$2:$L$42,$A30+1),IF('2. Results'!$C$35="Both claim at 67",INDEX(ENG_S2_STRESS!$L$2:$L$42,$A30+1),INDEX(ENG_S3_STRESS!$L$2:$L$42,$A30+1)))))</f>
        <v/>
      </c>
      <c r="H30" s="50">
        <f>IF(Tables!$B$13+$A30&gt;Tables!$B$18,"",IF('3. Year by Year'!$B$3="Smooth",IF('2. Results'!$C$35="Both claim at 62",INDEX(ENG_S1_BASE!$BQ$2:$BQ$42,$A30+1),IF('2. Results'!$C$35="Both claim at 67",INDEX(ENG_S2_BASE!$BQ$2:$BQ$42,$A30+1),INDEX(ENG_S3_BASE!$BQ$2:$BQ$42,$A30+1))),IF('2. Results'!$C$35="Both claim at 62",INDEX(ENG_S1_STRESS!$BQ$2:$BQ$42,$A30+1),IF('2. Results'!$C$35="Both claim at 67",INDEX(ENG_S2_STRESS!$BQ$2:$BQ$42,$A30+1),INDEX(ENG_S3_STRESS!$BQ$2:$BQ$42,$A30+1)))))</f>
        <v/>
      </c>
      <c r="I30" s="50">
        <f>IF(Tables!$B$13+$A30&gt;Tables!$B$18,"",IF('3. Year by Year'!$B$3="Smooth",IF('2. Results'!$C$35="Both claim at 62",INDEX(ENG_S1_BASE!$Q$2:$Q$42,$A30+1),IF('2. Results'!$C$35="Both claim at 67",INDEX(ENG_S2_BASE!$Q$2:$Q$42,$A30+1),INDEX(ENG_S3_BASE!$Q$2:$Q$42,$A30+1))),IF('2. Results'!$C$35="Both claim at 62",INDEX(ENG_S1_STRESS!$Q$2:$Q$42,$A30+1),IF('2. Results'!$C$35="Both claim at 67",INDEX(ENG_S2_STRESS!$Q$2:$Q$42,$A30+1),INDEX(ENG_S3_STRESS!$Q$2:$Q$42,$A30+1)))))</f>
        <v/>
      </c>
      <c r="J30" s="50">
        <f>IF(Tables!$B$13+$A30&gt;Tables!$B$18,"",IF('3. Year by Year'!$B$3="Smooth",IF('2. Results'!$C$35="Both claim at 62",INDEX(ENG_S1_BASE!$BV$2:$BV$42,$A30+1),IF('2. Results'!$C$35="Both claim at 67",INDEX(ENG_S2_BASE!$BV$2:$BV$42,$A30+1),INDEX(ENG_S3_BASE!$BV$2:$BV$42,$A30+1))),IF('2. Results'!$C$35="Both claim at 62",INDEX(ENG_S1_STRESS!$BV$2:$BV$42,$A30+1),IF('2. Results'!$C$35="Both claim at 67",INDEX(ENG_S2_STRESS!$BV$2:$BV$42,$A30+1),INDEX(ENG_S3_STRESS!$BV$2:$BV$42,$A30+1)))))</f>
        <v/>
      </c>
      <c r="K30" s="50">
        <f>IF(Tables!$B$13+$A30&gt;Tables!$B$18,"",IF('3. Year by Year'!$B$3="Smooth",IF('2. Results'!$C$35="Both claim at 62",INDEX(ENG_S1_BASE!$BR$2:$BR$42,$A30+1),IF('2. Results'!$C$35="Both claim at 67",INDEX(ENG_S2_BASE!$BR$2:$BR$42,$A30+1),INDEX(ENG_S3_BASE!$BR$2:$BR$42,$A30+1))),IF('2. Results'!$C$35="Both claim at 62",INDEX(ENG_S1_STRESS!$BR$2:$BR$42,$A30+1),IF('2. Results'!$C$35="Both claim at 67",INDEX(ENG_S2_STRESS!$BR$2:$BR$42,$A30+1),INDEX(ENG_S3_STRESS!$BR$2:$BR$42,$A30+1)))))</f>
        <v/>
      </c>
      <c r="L30" s="50">
        <f>IF(Tables!$B$13+$A30&gt;Tables!$B$18,"",IF('3. Year by Year'!$B$3="Smooth",IF('2. Results'!$C$35="Both claim at 62",INDEX(ENG_S1_BASE!$BT$2:$BT$42,$A30+1),IF('2. Results'!$C$35="Both claim at 67",INDEX(ENG_S2_BASE!$BT$2:$BT$42,$A30+1),INDEX(ENG_S3_BASE!$BT$2:$BT$42,$A30+1))),IF('2. Results'!$C$35="Both claim at 62",INDEX(ENG_S1_STRESS!$BT$2:$BT$42,$A30+1),IF('2. Results'!$C$35="Both claim at 67",INDEX(ENG_S2_STRESS!$BT$2:$BT$42,$A30+1),INDEX(ENG_S3_STRESS!$BT$2:$BT$42,$A30+1)))))</f>
        <v/>
      </c>
      <c r="M30" s="50">
        <f>IF(Tables!$B$13+$A30&gt;Tables!$B$18,"",IF('3. Year by Year'!$B$3="Smooth",IF('2. Results'!$C$35="Both claim at 62",INDEX(ENG_S1_BASE!$BX$2:$BX$42,$A30+1),IF('2. Results'!$C$35="Both claim at 67",INDEX(ENG_S2_BASE!$BX$2:$BX$42,$A30+1),INDEX(ENG_S3_BASE!$BX$2:$BX$42,$A30+1))),IF('2. Results'!$C$35="Both claim at 62",INDEX(ENG_S1_STRESS!$BX$2:$BX$42,$A30+1),IF('2. Results'!$C$35="Both claim at 67",INDEX(ENG_S2_STRESS!$BX$2:$BX$42,$A30+1),INDEX(ENG_S3_STRESS!$BX$2:$BX$42,$A30+1)))))</f>
        <v/>
      </c>
      <c r="N30" s="50">
        <f>IF(Tables!$B$13+$A30&gt;Tables!$B$18,"",IF('3. Year by Year'!$B$3="Smooth",IF('2. Results'!$C$35="Both claim at 62",INDEX(ENG_S1_BASE!$BY$2:$BY$42,$A30+1),IF('2. Results'!$C$35="Both claim at 67",INDEX(ENG_S2_BASE!$BY$2:$BY$42,$A30+1),INDEX(ENG_S3_BASE!$BY$2:$BY$42,$A30+1))),IF('2. Results'!$C$35="Both claim at 62",INDEX(ENG_S1_STRESS!$BY$2:$BY$42,$A30+1),IF('2. Results'!$C$35="Both claim at 67",INDEX(ENG_S2_STRESS!$BY$2:$BY$42,$A30+1),INDEX(ENG_S3_STRESS!$BY$2:$BY$42,$A30+1)))))</f>
        <v/>
      </c>
      <c r="O30" s="50">
        <f>IF(Tables!$B$13+$A30&gt;Tables!$B$18,"",IF('3. Year by Year'!$B$3="Smooth",IF('2. Results'!$C$35="Both claim at 62",INDEX(ENG_S1_BASE!$BZ$2:$BZ$42,$A30+1),IF('2. Results'!$C$35="Both claim at 67",INDEX(ENG_S2_BASE!$BZ$2:$BZ$42,$A30+1),INDEX(ENG_S3_BASE!$BZ$2:$BZ$42,$A30+1))),IF('2. Results'!$C$35="Both claim at 62",INDEX(ENG_S1_STRESS!$BZ$2:$BZ$42,$A30+1),IF('2. Results'!$C$35="Both claim at 67",INDEX(ENG_S2_STRESS!$BZ$2:$BZ$42,$A30+1),INDEX(ENG_S3_STRESS!$BZ$2:$BZ$42,$A30+1)))))</f>
        <v/>
      </c>
      <c r="P30" s="50">
        <f>IF(Tables!$B$13+$A30&gt;Tables!$B$18,"",IF('3. Year by Year'!$B$3="Smooth",IF('2. Results'!$C$35="Both claim at 62",INDEX(ENG_S1_BASE!$CA$2:$CA$42,$A30+1),IF('2. Results'!$C$35="Both claim at 67",INDEX(ENG_S2_BASE!$CA$2:$CA$42,$A30+1),INDEX(ENG_S3_BASE!$CA$2:$CA$42,$A30+1))),IF('2. Results'!$C$35="Both claim at 62",INDEX(ENG_S1_STRESS!$CA$2:$CA$42,$A30+1),IF('2. Results'!$C$35="Both claim at 67",INDEX(ENG_S2_STRESS!$CA$2:$CA$42,$A30+1),INDEX(ENG_S3_STRESS!$CA$2:$CA$42,$A30+1)))))</f>
        <v/>
      </c>
      <c r="Q30" s="50">
        <f>IF(Tables!$B$13+$A30&gt;Tables!$B$18,"",IF('3. Year by Year'!$B$3="Smooth",IF('2. Results'!$C$35="Both claim at 62",INDEX(ENG_S1_BASE!$CB$2:$CB$42,$A30+1),IF('2. Results'!$C$35="Both claim at 67",INDEX(ENG_S2_BASE!$CB$2:$CB$42,$A30+1),INDEX(ENG_S3_BASE!$CB$2:$CB$42,$A30+1))),IF('2. Results'!$C$35="Both claim at 62",INDEX(ENG_S1_STRESS!$CB$2:$CB$42,$A30+1),IF('2. Results'!$C$35="Both claim at 67",INDEX(ENG_S2_STRESS!$CB$2:$CB$42,$A30+1),INDEX(ENG_S3_STRESS!$CB$2:$CB$42,$A30+1)))))</f>
        <v/>
      </c>
      <c r="R30" s="50">
        <f>IF(Tables!$B$13+$A30&gt;Tables!$B$18,"",IF('3. Year by Year'!$B$3="Smooth",IF('2. Results'!$C$35="Both claim at 62",INDEX(ENG_S1_BASE!$CC$2:$CC$42,$A30+1),IF('2. Results'!$C$35="Both claim at 67",INDEX(ENG_S2_BASE!$CC$2:$CC$42,$A30+1),INDEX(ENG_S3_BASE!$CC$2:$CC$42,$A30+1))),IF('2. Results'!$C$35="Both claim at 62",INDEX(ENG_S1_STRESS!$CC$2:$CC$42,$A30+1),IF('2. Results'!$C$35="Both claim at 67",INDEX(ENG_S2_STRESS!$CC$2:$CC$42,$A30+1),INDEX(ENG_S3_STRESS!$CC$2:$CC$42,$A30+1)))))</f>
        <v/>
      </c>
    </row>
    <row r="31">
      <c r="A31" s="43" t="n">
        <v>25</v>
      </c>
      <c r="B31" s="48">
        <f>IF(Tables!$B$13+$A31&gt;Tables!$B$18,"",Tables!$B$14+$A31)</f>
        <v/>
      </c>
      <c r="C31" s="48">
        <f>IF(Tables!$B$13+$A31&gt;Tables!$B$18,"",Tables!$B$13+$A31)</f>
        <v/>
      </c>
      <c r="D31" s="56">
        <f>IF(Tables!$B$13+$A31&gt;Tables!$B$18,"",IF('3. Year by Year'!$B$3="Smooth",IF('2. Results'!$C$35="Both claim at 62",INDEX(ENG_S1_BASE!$D$2:$D$42,$A31+1),IF('2. Results'!$C$35="Both claim at 67",INDEX(ENG_S2_BASE!$D$2:$D$42,$A31+1),INDEX(ENG_S3_BASE!$D$2:$D$42,$A31+1))),IF('2. Results'!$C$35="Both claim at 62",INDEX(ENG_S1_STRESS!$D$2:$D$42,$A31+1),IF('2. Results'!$C$35="Both claim at 67",INDEX(ENG_S2_STRESS!$D$2:$D$42,$A31+1),INDEX(ENG_S3_STRESS!$D$2:$D$42,$A31+1)))))</f>
        <v/>
      </c>
      <c r="E31" s="47">
        <f>IF(Tables!$B$13+$A31&gt;Tables!$B$18,"",IF('3. Year by Year'!$B$3="Smooth",IF('2. Results'!$C$35="Both claim at 62",INDEX(ENG_S1_BASE!$G$2:$G$42,$A31+1),IF('2. Results'!$C$35="Both claim at 67",INDEX(ENG_S2_BASE!$G$2:$G$42,$A31+1),INDEX(ENG_S3_BASE!$G$2:$G$42,$A31+1))),IF('2. Results'!$C$35="Both claim at 62",INDEX(ENG_S1_STRESS!$G$2:$G$42,$A31+1),IF('2. Results'!$C$35="Both claim at 67",INDEX(ENG_S2_STRESS!$G$2:$G$42,$A31+1),INDEX(ENG_S3_STRESS!$G$2:$G$42,$A31+1)))))</f>
        <v/>
      </c>
      <c r="F31" s="47">
        <f>IF(Tables!$B$13+$A31&gt;Tables!$B$18,"",IF('3. Year by Year'!$B$3="Smooth",IF('2. Results'!$C$35="Both claim at 62",INDEX(ENG_S1_BASE!$H$2:$H$42,$A31+1),IF('2. Results'!$C$35="Both claim at 67",INDEX(ENG_S2_BASE!$H$2:$H$42,$A31+1),INDEX(ENG_S3_BASE!$H$2:$H$42,$A31+1))),IF('2. Results'!$C$35="Both claim at 62",INDEX(ENG_S1_STRESS!$H$2:$H$42,$A31+1),IF('2. Results'!$C$35="Both claim at 67",INDEX(ENG_S2_STRESS!$H$2:$H$42,$A31+1),INDEX(ENG_S3_STRESS!$H$2:$H$42,$A31+1)))))</f>
        <v/>
      </c>
      <c r="G31" s="47">
        <f>IF(Tables!$B$13+$A31&gt;Tables!$B$18,"",IF('3. Year by Year'!$B$3="Smooth",IF('2. Results'!$C$35="Both claim at 62",INDEX(ENG_S1_BASE!$L$2:$L$42,$A31+1),IF('2. Results'!$C$35="Both claim at 67",INDEX(ENG_S2_BASE!$L$2:$L$42,$A31+1),INDEX(ENG_S3_BASE!$L$2:$L$42,$A31+1))),IF('2. Results'!$C$35="Both claim at 62",INDEX(ENG_S1_STRESS!$L$2:$L$42,$A31+1),IF('2. Results'!$C$35="Both claim at 67",INDEX(ENG_S2_STRESS!$L$2:$L$42,$A31+1),INDEX(ENG_S3_STRESS!$L$2:$L$42,$A31+1)))))</f>
        <v/>
      </c>
      <c r="H31" s="47">
        <f>IF(Tables!$B$13+$A31&gt;Tables!$B$18,"",IF('3. Year by Year'!$B$3="Smooth",IF('2. Results'!$C$35="Both claim at 62",INDEX(ENG_S1_BASE!$BQ$2:$BQ$42,$A31+1),IF('2. Results'!$C$35="Both claim at 67",INDEX(ENG_S2_BASE!$BQ$2:$BQ$42,$A31+1),INDEX(ENG_S3_BASE!$BQ$2:$BQ$42,$A31+1))),IF('2. Results'!$C$35="Both claim at 62",INDEX(ENG_S1_STRESS!$BQ$2:$BQ$42,$A31+1),IF('2. Results'!$C$35="Both claim at 67",INDEX(ENG_S2_STRESS!$BQ$2:$BQ$42,$A31+1),INDEX(ENG_S3_STRESS!$BQ$2:$BQ$42,$A31+1)))))</f>
        <v/>
      </c>
      <c r="I31" s="47">
        <f>IF(Tables!$B$13+$A31&gt;Tables!$B$18,"",IF('3. Year by Year'!$B$3="Smooth",IF('2. Results'!$C$35="Both claim at 62",INDEX(ENG_S1_BASE!$Q$2:$Q$42,$A31+1),IF('2. Results'!$C$35="Both claim at 67",INDEX(ENG_S2_BASE!$Q$2:$Q$42,$A31+1),INDEX(ENG_S3_BASE!$Q$2:$Q$42,$A31+1))),IF('2. Results'!$C$35="Both claim at 62",INDEX(ENG_S1_STRESS!$Q$2:$Q$42,$A31+1),IF('2. Results'!$C$35="Both claim at 67",INDEX(ENG_S2_STRESS!$Q$2:$Q$42,$A31+1),INDEX(ENG_S3_STRESS!$Q$2:$Q$42,$A31+1)))))</f>
        <v/>
      </c>
      <c r="J31" s="47">
        <f>IF(Tables!$B$13+$A31&gt;Tables!$B$18,"",IF('3. Year by Year'!$B$3="Smooth",IF('2. Results'!$C$35="Both claim at 62",INDEX(ENG_S1_BASE!$BV$2:$BV$42,$A31+1),IF('2. Results'!$C$35="Both claim at 67",INDEX(ENG_S2_BASE!$BV$2:$BV$42,$A31+1),INDEX(ENG_S3_BASE!$BV$2:$BV$42,$A31+1))),IF('2. Results'!$C$35="Both claim at 62",INDEX(ENG_S1_STRESS!$BV$2:$BV$42,$A31+1),IF('2. Results'!$C$35="Both claim at 67",INDEX(ENG_S2_STRESS!$BV$2:$BV$42,$A31+1),INDEX(ENG_S3_STRESS!$BV$2:$BV$42,$A31+1)))))</f>
        <v/>
      </c>
      <c r="K31" s="47">
        <f>IF(Tables!$B$13+$A31&gt;Tables!$B$18,"",IF('3. Year by Year'!$B$3="Smooth",IF('2. Results'!$C$35="Both claim at 62",INDEX(ENG_S1_BASE!$BR$2:$BR$42,$A31+1),IF('2. Results'!$C$35="Both claim at 67",INDEX(ENG_S2_BASE!$BR$2:$BR$42,$A31+1),INDEX(ENG_S3_BASE!$BR$2:$BR$42,$A31+1))),IF('2. Results'!$C$35="Both claim at 62",INDEX(ENG_S1_STRESS!$BR$2:$BR$42,$A31+1),IF('2. Results'!$C$35="Both claim at 67",INDEX(ENG_S2_STRESS!$BR$2:$BR$42,$A31+1),INDEX(ENG_S3_STRESS!$BR$2:$BR$42,$A31+1)))))</f>
        <v/>
      </c>
      <c r="L31" s="47">
        <f>IF(Tables!$B$13+$A31&gt;Tables!$B$18,"",IF('3. Year by Year'!$B$3="Smooth",IF('2. Results'!$C$35="Both claim at 62",INDEX(ENG_S1_BASE!$BT$2:$BT$42,$A31+1),IF('2. Results'!$C$35="Both claim at 67",INDEX(ENG_S2_BASE!$BT$2:$BT$42,$A31+1),INDEX(ENG_S3_BASE!$BT$2:$BT$42,$A31+1))),IF('2. Results'!$C$35="Both claim at 62",INDEX(ENG_S1_STRESS!$BT$2:$BT$42,$A31+1),IF('2. Results'!$C$35="Both claim at 67",INDEX(ENG_S2_STRESS!$BT$2:$BT$42,$A31+1),INDEX(ENG_S3_STRESS!$BT$2:$BT$42,$A31+1)))))</f>
        <v/>
      </c>
      <c r="M31" s="47">
        <f>IF(Tables!$B$13+$A31&gt;Tables!$B$18,"",IF('3. Year by Year'!$B$3="Smooth",IF('2. Results'!$C$35="Both claim at 62",INDEX(ENG_S1_BASE!$BX$2:$BX$42,$A31+1),IF('2. Results'!$C$35="Both claim at 67",INDEX(ENG_S2_BASE!$BX$2:$BX$42,$A31+1),INDEX(ENG_S3_BASE!$BX$2:$BX$42,$A31+1))),IF('2. Results'!$C$35="Both claim at 62",INDEX(ENG_S1_STRESS!$BX$2:$BX$42,$A31+1),IF('2. Results'!$C$35="Both claim at 67",INDEX(ENG_S2_STRESS!$BX$2:$BX$42,$A31+1),INDEX(ENG_S3_STRESS!$BX$2:$BX$42,$A31+1)))))</f>
        <v/>
      </c>
      <c r="N31" s="47">
        <f>IF(Tables!$B$13+$A31&gt;Tables!$B$18,"",IF('3. Year by Year'!$B$3="Smooth",IF('2. Results'!$C$35="Both claim at 62",INDEX(ENG_S1_BASE!$BY$2:$BY$42,$A31+1),IF('2. Results'!$C$35="Both claim at 67",INDEX(ENG_S2_BASE!$BY$2:$BY$42,$A31+1),INDEX(ENG_S3_BASE!$BY$2:$BY$42,$A31+1))),IF('2. Results'!$C$35="Both claim at 62",INDEX(ENG_S1_STRESS!$BY$2:$BY$42,$A31+1),IF('2. Results'!$C$35="Both claim at 67",INDEX(ENG_S2_STRESS!$BY$2:$BY$42,$A31+1),INDEX(ENG_S3_STRESS!$BY$2:$BY$42,$A31+1)))))</f>
        <v/>
      </c>
      <c r="O31" s="47">
        <f>IF(Tables!$B$13+$A31&gt;Tables!$B$18,"",IF('3. Year by Year'!$B$3="Smooth",IF('2. Results'!$C$35="Both claim at 62",INDEX(ENG_S1_BASE!$BZ$2:$BZ$42,$A31+1),IF('2. Results'!$C$35="Both claim at 67",INDEX(ENG_S2_BASE!$BZ$2:$BZ$42,$A31+1),INDEX(ENG_S3_BASE!$BZ$2:$BZ$42,$A31+1))),IF('2. Results'!$C$35="Both claim at 62",INDEX(ENG_S1_STRESS!$BZ$2:$BZ$42,$A31+1),IF('2. Results'!$C$35="Both claim at 67",INDEX(ENG_S2_STRESS!$BZ$2:$BZ$42,$A31+1),INDEX(ENG_S3_STRESS!$BZ$2:$BZ$42,$A31+1)))))</f>
        <v/>
      </c>
      <c r="P31" s="47">
        <f>IF(Tables!$B$13+$A31&gt;Tables!$B$18,"",IF('3. Year by Year'!$B$3="Smooth",IF('2. Results'!$C$35="Both claim at 62",INDEX(ENG_S1_BASE!$CA$2:$CA$42,$A31+1),IF('2. Results'!$C$35="Both claim at 67",INDEX(ENG_S2_BASE!$CA$2:$CA$42,$A31+1),INDEX(ENG_S3_BASE!$CA$2:$CA$42,$A31+1))),IF('2. Results'!$C$35="Both claim at 62",INDEX(ENG_S1_STRESS!$CA$2:$CA$42,$A31+1),IF('2. Results'!$C$35="Both claim at 67",INDEX(ENG_S2_STRESS!$CA$2:$CA$42,$A31+1),INDEX(ENG_S3_STRESS!$CA$2:$CA$42,$A31+1)))))</f>
        <v/>
      </c>
      <c r="Q31" s="47">
        <f>IF(Tables!$B$13+$A31&gt;Tables!$B$18,"",IF('3. Year by Year'!$B$3="Smooth",IF('2. Results'!$C$35="Both claim at 62",INDEX(ENG_S1_BASE!$CB$2:$CB$42,$A31+1),IF('2. Results'!$C$35="Both claim at 67",INDEX(ENG_S2_BASE!$CB$2:$CB$42,$A31+1),INDEX(ENG_S3_BASE!$CB$2:$CB$42,$A31+1))),IF('2. Results'!$C$35="Both claim at 62",INDEX(ENG_S1_STRESS!$CB$2:$CB$42,$A31+1),IF('2. Results'!$C$35="Both claim at 67",INDEX(ENG_S2_STRESS!$CB$2:$CB$42,$A31+1),INDEX(ENG_S3_STRESS!$CB$2:$CB$42,$A31+1)))))</f>
        <v/>
      </c>
      <c r="R31" s="47">
        <f>IF(Tables!$B$13+$A31&gt;Tables!$B$18,"",IF('3. Year by Year'!$B$3="Smooth",IF('2. Results'!$C$35="Both claim at 62",INDEX(ENG_S1_BASE!$CC$2:$CC$42,$A31+1),IF('2. Results'!$C$35="Both claim at 67",INDEX(ENG_S2_BASE!$CC$2:$CC$42,$A31+1),INDEX(ENG_S3_BASE!$CC$2:$CC$42,$A31+1))),IF('2. Results'!$C$35="Both claim at 62",INDEX(ENG_S1_STRESS!$CC$2:$CC$42,$A31+1),IF('2. Results'!$C$35="Both claim at 67",INDEX(ENG_S2_STRESS!$CC$2:$CC$42,$A31+1),INDEX(ENG_S3_STRESS!$CC$2:$CC$42,$A31+1)))))</f>
        <v/>
      </c>
    </row>
    <row r="32">
      <c r="A32" s="43" t="n">
        <v>26</v>
      </c>
      <c r="B32" s="51">
        <f>IF(Tables!$B$13+$A32&gt;Tables!$B$18,"",Tables!$B$14+$A32)</f>
        <v/>
      </c>
      <c r="C32" s="51">
        <f>IF(Tables!$B$13+$A32&gt;Tables!$B$18,"",Tables!$B$13+$A32)</f>
        <v/>
      </c>
      <c r="D32" s="55">
        <f>IF(Tables!$B$13+$A32&gt;Tables!$B$18,"",IF('3. Year by Year'!$B$3="Smooth",IF('2. Results'!$C$35="Both claim at 62",INDEX(ENG_S1_BASE!$D$2:$D$42,$A32+1),IF('2. Results'!$C$35="Both claim at 67",INDEX(ENG_S2_BASE!$D$2:$D$42,$A32+1),INDEX(ENG_S3_BASE!$D$2:$D$42,$A32+1))),IF('2. Results'!$C$35="Both claim at 62",INDEX(ENG_S1_STRESS!$D$2:$D$42,$A32+1),IF('2. Results'!$C$35="Both claim at 67",INDEX(ENG_S2_STRESS!$D$2:$D$42,$A32+1),INDEX(ENG_S3_STRESS!$D$2:$D$42,$A32+1)))))</f>
        <v/>
      </c>
      <c r="E32" s="50">
        <f>IF(Tables!$B$13+$A32&gt;Tables!$B$18,"",IF('3. Year by Year'!$B$3="Smooth",IF('2. Results'!$C$35="Both claim at 62",INDEX(ENG_S1_BASE!$G$2:$G$42,$A32+1),IF('2. Results'!$C$35="Both claim at 67",INDEX(ENG_S2_BASE!$G$2:$G$42,$A32+1),INDEX(ENG_S3_BASE!$G$2:$G$42,$A32+1))),IF('2. Results'!$C$35="Both claim at 62",INDEX(ENG_S1_STRESS!$G$2:$G$42,$A32+1),IF('2. Results'!$C$35="Both claim at 67",INDEX(ENG_S2_STRESS!$G$2:$G$42,$A32+1),INDEX(ENG_S3_STRESS!$G$2:$G$42,$A32+1)))))</f>
        <v/>
      </c>
      <c r="F32" s="50">
        <f>IF(Tables!$B$13+$A32&gt;Tables!$B$18,"",IF('3. Year by Year'!$B$3="Smooth",IF('2. Results'!$C$35="Both claim at 62",INDEX(ENG_S1_BASE!$H$2:$H$42,$A32+1),IF('2. Results'!$C$35="Both claim at 67",INDEX(ENG_S2_BASE!$H$2:$H$42,$A32+1),INDEX(ENG_S3_BASE!$H$2:$H$42,$A32+1))),IF('2. Results'!$C$35="Both claim at 62",INDEX(ENG_S1_STRESS!$H$2:$H$42,$A32+1),IF('2. Results'!$C$35="Both claim at 67",INDEX(ENG_S2_STRESS!$H$2:$H$42,$A32+1),INDEX(ENG_S3_STRESS!$H$2:$H$42,$A32+1)))))</f>
        <v/>
      </c>
      <c r="G32" s="50">
        <f>IF(Tables!$B$13+$A32&gt;Tables!$B$18,"",IF('3. Year by Year'!$B$3="Smooth",IF('2. Results'!$C$35="Both claim at 62",INDEX(ENG_S1_BASE!$L$2:$L$42,$A32+1),IF('2. Results'!$C$35="Both claim at 67",INDEX(ENG_S2_BASE!$L$2:$L$42,$A32+1),INDEX(ENG_S3_BASE!$L$2:$L$42,$A32+1))),IF('2. Results'!$C$35="Both claim at 62",INDEX(ENG_S1_STRESS!$L$2:$L$42,$A32+1),IF('2. Results'!$C$35="Both claim at 67",INDEX(ENG_S2_STRESS!$L$2:$L$42,$A32+1),INDEX(ENG_S3_STRESS!$L$2:$L$42,$A32+1)))))</f>
        <v/>
      </c>
      <c r="H32" s="50">
        <f>IF(Tables!$B$13+$A32&gt;Tables!$B$18,"",IF('3. Year by Year'!$B$3="Smooth",IF('2. Results'!$C$35="Both claim at 62",INDEX(ENG_S1_BASE!$BQ$2:$BQ$42,$A32+1),IF('2. Results'!$C$35="Both claim at 67",INDEX(ENG_S2_BASE!$BQ$2:$BQ$42,$A32+1),INDEX(ENG_S3_BASE!$BQ$2:$BQ$42,$A32+1))),IF('2. Results'!$C$35="Both claim at 62",INDEX(ENG_S1_STRESS!$BQ$2:$BQ$42,$A32+1),IF('2. Results'!$C$35="Both claim at 67",INDEX(ENG_S2_STRESS!$BQ$2:$BQ$42,$A32+1),INDEX(ENG_S3_STRESS!$BQ$2:$BQ$42,$A32+1)))))</f>
        <v/>
      </c>
      <c r="I32" s="50">
        <f>IF(Tables!$B$13+$A32&gt;Tables!$B$18,"",IF('3. Year by Year'!$B$3="Smooth",IF('2. Results'!$C$35="Both claim at 62",INDEX(ENG_S1_BASE!$Q$2:$Q$42,$A32+1),IF('2. Results'!$C$35="Both claim at 67",INDEX(ENG_S2_BASE!$Q$2:$Q$42,$A32+1),INDEX(ENG_S3_BASE!$Q$2:$Q$42,$A32+1))),IF('2. Results'!$C$35="Both claim at 62",INDEX(ENG_S1_STRESS!$Q$2:$Q$42,$A32+1),IF('2. Results'!$C$35="Both claim at 67",INDEX(ENG_S2_STRESS!$Q$2:$Q$42,$A32+1),INDEX(ENG_S3_STRESS!$Q$2:$Q$42,$A32+1)))))</f>
        <v/>
      </c>
      <c r="J32" s="50">
        <f>IF(Tables!$B$13+$A32&gt;Tables!$B$18,"",IF('3. Year by Year'!$B$3="Smooth",IF('2. Results'!$C$35="Both claim at 62",INDEX(ENG_S1_BASE!$BV$2:$BV$42,$A32+1),IF('2. Results'!$C$35="Both claim at 67",INDEX(ENG_S2_BASE!$BV$2:$BV$42,$A32+1),INDEX(ENG_S3_BASE!$BV$2:$BV$42,$A32+1))),IF('2. Results'!$C$35="Both claim at 62",INDEX(ENG_S1_STRESS!$BV$2:$BV$42,$A32+1),IF('2. Results'!$C$35="Both claim at 67",INDEX(ENG_S2_STRESS!$BV$2:$BV$42,$A32+1),INDEX(ENG_S3_STRESS!$BV$2:$BV$42,$A32+1)))))</f>
        <v/>
      </c>
      <c r="K32" s="50">
        <f>IF(Tables!$B$13+$A32&gt;Tables!$B$18,"",IF('3. Year by Year'!$B$3="Smooth",IF('2. Results'!$C$35="Both claim at 62",INDEX(ENG_S1_BASE!$BR$2:$BR$42,$A32+1),IF('2. Results'!$C$35="Both claim at 67",INDEX(ENG_S2_BASE!$BR$2:$BR$42,$A32+1),INDEX(ENG_S3_BASE!$BR$2:$BR$42,$A32+1))),IF('2. Results'!$C$35="Both claim at 62",INDEX(ENG_S1_STRESS!$BR$2:$BR$42,$A32+1),IF('2. Results'!$C$35="Both claim at 67",INDEX(ENG_S2_STRESS!$BR$2:$BR$42,$A32+1),INDEX(ENG_S3_STRESS!$BR$2:$BR$42,$A32+1)))))</f>
        <v/>
      </c>
      <c r="L32" s="50">
        <f>IF(Tables!$B$13+$A32&gt;Tables!$B$18,"",IF('3. Year by Year'!$B$3="Smooth",IF('2. Results'!$C$35="Both claim at 62",INDEX(ENG_S1_BASE!$BT$2:$BT$42,$A32+1),IF('2. Results'!$C$35="Both claim at 67",INDEX(ENG_S2_BASE!$BT$2:$BT$42,$A32+1),INDEX(ENG_S3_BASE!$BT$2:$BT$42,$A32+1))),IF('2. Results'!$C$35="Both claim at 62",INDEX(ENG_S1_STRESS!$BT$2:$BT$42,$A32+1),IF('2. Results'!$C$35="Both claim at 67",INDEX(ENG_S2_STRESS!$BT$2:$BT$42,$A32+1),INDEX(ENG_S3_STRESS!$BT$2:$BT$42,$A32+1)))))</f>
        <v/>
      </c>
      <c r="M32" s="50">
        <f>IF(Tables!$B$13+$A32&gt;Tables!$B$18,"",IF('3. Year by Year'!$B$3="Smooth",IF('2. Results'!$C$35="Both claim at 62",INDEX(ENG_S1_BASE!$BX$2:$BX$42,$A32+1),IF('2. Results'!$C$35="Both claim at 67",INDEX(ENG_S2_BASE!$BX$2:$BX$42,$A32+1),INDEX(ENG_S3_BASE!$BX$2:$BX$42,$A32+1))),IF('2. Results'!$C$35="Both claim at 62",INDEX(ENG_S1_STRESS!$BX$2:$BX$42,$A32+1),IF('2. Results'!$C$35="Both claim at 67",INDEX(ENG_S2_STRESS!$BX$2:$BX$42,$A32+1),INDEX(ENG_S3_STRESS!$BX$2:$BX$42,$A32+1)))))</f>
        <v/>
      </c>
      <c r="N32" s="50">
        <f>IF(Tables!$B$13+$A32&gt;Tables!$B$18,"",IF('3. Year by Year'!$B$3="Smooth",IF('2. Results'!$C$35="Both claim at 62",INDEX(ENG_S1_BASE!$BY$2:$BY$42,$A32+1),IF('2. Results'!$C$35="Both claim at 67",INDEX(ENG_S2_BASE!$BY$2:$BY$42,$A32+1),INDEX(ENG_S3_BASE!$BY$2:$BY$42,$A32+1))),IF('2. Results'!$C$35="Both claim at 62",INDEX(ENG_S1_STRESS!$BY$2:$BY$42,$A32+1),IF('2. Results'!$C$35="Both claim at 67",INDEX(ENG_S2_STRESS!$BY$2:$BY$42,$A32+1),INDEX(ENG_S3_STRESS!$BY$2:$BY$42,$A32+1)))))</f>
        <v/>
      </c>
      <c r="O32" s="50">
        <f>IF(Tables!$B$13+$A32&gt;Tables!$B$18,"",IF('3. Year by Year'!$B$3="Smooth",IF('2. Results'!$C$35="Both claim at 62",INDEX(ENG_S1_BASE!$BZ$2:$BZ$42,$A32+1),IF('2. Results'!$C$35="Both claim at 67",INDEX(ENG_S2_BASE!$BZ$2:$BZ$42,$A32+1),INDEX(ENG_S3_BASE!$BZ$2:$BZ$42,$A32+1))),IF('2. Results'!$C$35="Both claim at 62",INDEX(ENG_S1_STRESS!$BZ$2:$BZ$42,$A32+1),IF('2. Results'!$C$35="Both claim at 67",INDEX(ENG_S2_STRESS!$BZ$2:$BZ$42,$A32+1),INDEX(ENG_S3_STRESS!$BZ$2:$BZ$42,$A32+1)))))</f>
        <v/>
      </c>
      <c r="P32" s="50">
        <f>IF(Tables!$B$13+$A32&gt;Tables!$B$18,"",IF('3. Year by Year'!$B$3="Smooth",IF('2. Results'!$C$35="Both claim at 62",INDEX(ENG_S1_BASE!$CA$2:$CA$42,$A32+1),IF('2. Results'!$C$35="Both claim at 67",INDEX(ENG_S2_BASE!$CA$2:$CA$42,$A32+1),INDEX(ENG_S3_BASE!$CA$2:$CA$42,$A32+1))),IF('2. Results'!$C$35="Both claim at 62",INDEX(ENG_S1_STRESS!$CA$2:$CA$42,$A32+1),IF('2. Results'!$C$35="Both claim at 67",INDEX(ENG_S2_STRESS!$CA$2:$CA$42,$A32+1),INDEX(ENG_S3_STRESS!$CA$2:$CA$42,$A32+1)))))</f>
        <v/>
      </c>
      <c r="Q32" s="50">
        <f>IF(Tables!$B$13+$A32&gt;Tables!$B$18,"",IF('3. Year by Year'!$B$3="Smooth",IF('2. Results'!$C$35="Both claim at 62",INDEX(ENG_S1_BASE!$CB$2:$CB$42,$A32+1),IF('2. Results'!$C$35="Both claim at 67",INDEX(ENG_S2_BASE!$CB$2:$CB$42,$A32+1),INDEX(ENG_S3_BASE!$CB$2:$CB$42,$A32+1))),IF('2. Results'!$C$35="Both claim at 62",INDEX(ENG_S1_STRESS!$CB$2:$CB$42,$A32+1),IF('2. Results'!$C$35="Both claim at 67",INDEX(ENG_S2_STRESS!$CB$2:$CB$42,$A32+1),INDEX(ENG_S3_STRESS!$CB$2:$CB$42,$A32+1)))))</f>
        <v/>
      </c>
      <c r="R32" s="50">
        <f>IF(Tables!$B$13+$A32&gt;Tables!$B$18,"",IF('3. Year by Year'!$B$3="Smooth",IF('2. Results'!$C$35="Both claim at 62",INDEX(ENG_S1_BASE!$CC$2:$CC$42,$A32+1),IF('2. Results'!$C$35="Both claim at 67",INDEX(ENG_S2_BASE!$CC$2:$CC$42,$A32+1),INDEX(ENG_S3_BASE!$CC$2:$CC$42,$A32+1))),IF('2. Results'!$C$35="Both claim at 62",INDEX(ENG_S1_STRESS!$CC$2:$CC$42,$A32+1),IF('2. Results'!$C$35="Both claim at 67",INDEX(ENG_S2_STRESS!$CC$2:$CC$42,$A32+1),INDEX(ENG_S3_STRESS!$CC$2:$CC$42,$A32+1)))))</f>
        <v/>
      </c>
    </row>
    <row r="33">
      <c r="A33" s="43" t="n">
        <v>27</v>
      </c>
      <c r="B33" s="48">
        <f>IF(Tables!$B$13+$A33&gt;Tables!$B$18,"",Tables!$B$14+$A33)</f>
        <v/>
      </c>
      <c r="C33" s="48">
        <f>IF(Tables!$B$13+$A33&gt;Tables!$B$18,"",Tables!$B$13+$A33)</f>
        <v/>
      </c>
      <c r="D33" s="56">
        <f>IF(Tables!$B$13+$A33&gt;Tables!$B$18,"",IF('3. Year by Year'!$B$3="Smooth",IF('2. Results'!$C$35="Both claim at 62",INDEX(ENG_S1_BASE!$D$2:$D$42,$A33+1),IF('2. Results'!$C$35="Both claim at 67",INDEX(ENG_S2_BASE!$D$2:$D$42,$A33+1),INDEX(ENG_S3_BASE!$D$2:$D$42,$A33+1))),IF('2. Results'!$C$35="Both claim at 62",INDEX(ENG_S1_STRESS!$D$2:$D$42,$A33+1),IF('2. Results'!$C$35="Both claim at 67",INDEX(ENG_S2_STRESS!$D$2:$D$42,$A33+1),INDEX(ENG_S3_STRESS!$D$2:$D$42,$A33+1)))))</f>
        <v/>
      </c>
      <c r="E33" s="47">
        <f>IF(Tables!$B$13+$A33&gt;Tables!$B$18,"",IF('3. Year by Year'!$B$3="Smooth",IF('2. Results'!$C$35="Both claim at 62",INDEX(ENG_S1_BASE!$G$2:$G$42,$A33+1),IF('2. Results'!$C$35="Both claim at 67",INDEX(ENG_S2_BASE!$G$2:$G$42,$A33+1),INDEX(ENG_S3_BASE!$G$2:$G$42,$A33+1))),IF('2. Results'!$C$35="Both claim at 62",INDEX(ENG_S1_STRESS!$G$2:$G$42,$A33+1),IF('2. Results'!$C$35="Both claim at 67",INDEX(ENG_S2_STRESS!$G$2:$G$42,$A33+1),INDEX(ENG_S3_STRESS!$G$2:$G$42,$A33+1)))))</f>
        <v/>
      </c>
      <c r="F33" s="47">
        <f>IF(Tables!$B$13+$A33&gt;Tables!$B$18,"",IF('3. Year by Year'!$B$3="Smooth",IF('2. Results'!$C$35="Both claim at 62",INDEX(ENG_S1_BASE!$H$2:$H$42,$A33+1),IF('2. Results'!$C$35="Both claim at 67",INDEX(ENG_S2_BASE!$H$2:$H$42,$A33+1),INDEX(ENG_S3_BASE!$H$2:$H$42,$A33+1))),IF('2. Results'!$C$35="Both claim at 62",INDEX(ENG_S1_STRESS!$H$2:$H$42,$A33+1),IF('2. Results'!$C$35="Both claim at 67",INDEX(ENG_S2_STRESS!$H$2:$H$42,$A33+1),INDEX(ENG_S3_STRESS!$H$2:$H$42,$A33+1)))))</f>
        <v/>
      </c>
      <c r="G33" s="47">
        <f>IF(Tables!$B$13+$A33&gt;Tables!$B$18,"",IF('3. Year by Year'!$B$3="Smooth",IF('2. Results'!$C$35="Both claim at 62",INDEX(ENG_S1_BASE!$L$2:$L$42,$A33+1),IF('2. Results'!$C$35="Both claim at 67",INDEX(ENG_S2_BASE!$L$2:$L$42,$A33+1),INDEX(ENG_S3_BASE!$L$2:$L$42,$A33+1))),IF('2. Results'!$C$35="Both claim at 62",INDEX(ENG_S1_STRESS!$L$2:$L$42,$A33+1),IF('2. Results'!$C$35="Both claim at 67",INDEX(ENG_S2_STRESS!$L$2:$L$42,$A33+1),INDEX(ENG_S3_STRESS!$L$2:$L$42,$A33+1)))))</f>
        <v/>
      </c>
      <c r="H33" s="47">
        <f>IF(Tables!$B$13+$A33&gt;Tables!$B$18,"",IF('3. Year by Year'!$B$3="Smooth",IF('2. Results'!$C$35="Both claim at 62",INDEX(ENG_S1_BASE!$BQ$2:$BQ$42,$A33+1),IF('2. Results'!$C$35="Both claim at 67",INDEX(ENG_S2_BASE!$BQ$2:$BQ$42,$A33+1),INDEX(ENG_S3_BASE!$BQ$2:$BQ$42,$A33+1))),IF('2. Results'!$C$35="Both claim at 62",INDEX(ENG_S1_STRESS!$BQ$2:$BQ$42,$A33+1),IF('2. Results'!$C$35="Both claim at 67",INDEX(ENG_S2_STRESS!$BQ$2:$BQ$42,$A33+1),INDEX(ENG_S3_STRESS!$BQ$2:$BQ$42,$A33+1)))))</f>
        <v/>
      </c>
      <c r="I33" s="47">
        <f>IF(Tables!$B$13+$A33&gt;Tables!$B$18,"",IF('3. Year by Year'!$B$3="Smooth",IF('2. Results'!$C$35="Both claim at 62",INDEX(ENG_S1_BASE!$Q$2:$Q$42,$A33+1),IF('2. Results'!$C$35="Both claim at 67",INDEX(ENG_S2_BASE!$Q$2:$Q$42,$A33+1),INDEX(ENG_S3_BASE!$Q$2:$Q$42,$A33+1))),IF('2. Results'!$C$35="Both claim at 62",INDEX(ENG_S1_STRESS!$Q$2:$Q$42,$A33+1),IF('2. Results'!$C$35="Both claim at 67",INDEX(ENG_S2_STRESS!$Q$2:$Q$42,$A33+1),INDEX(ENG_S3_STRESS!$Q$2:$Q$42,$A33+1)))))</f>
        <v/>
      </c>
      <c r="J33" s="47">
        <f>IF(Tables!$B$13+$A33&gt;Tables!$B$18,"",IF('3. Year by Year'!$B$3="Smooth",IF('2. Results'!$C$35="Both claim at 62",INDEX(ENG_S1_BASE!$BV$2:$BV$42,$A33+1),IF('2. Results'!$C$35="Both claim at 67",INDEX(ENG_S2_BASE!$BV$2:$BV$42,$A33+1),INDEX(ENG_S3_BASE!$BV$2:$BV$42,$A33+1))),IF('2. Results'!$C$35="Both claim at 62",INDEX(ENG_S1_STRESS!$BV$2:$BV$42,$A33+1),IF('2. Results'!$C$35="Both claim at 67",INDEX(ENG_S2_STRESS!$BV$2:$BV$42,$A33+1),INDEX(ENG_S3_STRESS!$BV$2:$BV$42,$A33+1)))))</f>
        <v/>
      </c>
      <c r="K33" s="47">
        <f>IF(Tables!$B$13+$A33&gt;Tables!$B$18,"",IF('3. Year by Year'!$B$3="Smooth",IF('2. Results'!$C$35="Both claim at 62",INDEX(ENG_S1_BASE!$BR$2:$BR$42,$A33+1),IF('2. Results'!$C$35="Both claim at 67",INDEX(ENG_S2_BASE!$BR$2:$BR$42,$A33+1),INDEX(ENG_S3_BASE!$BR$2:$BR$42,$A33+1))),IF('2. Results'!$C$35="Both claim at 62",INDEX(ENG_S1_STRESS!$BR$2:$BR$42,$A33+1),IF('2. Results'!$C$35="Both claim at 67",INDEX(ENG_S2_STRESS!$BR$2:$BR$42,$A33+1),INDEX(ENG_S3_STRESS!$BR$2:$BR$42,$A33+1)))))</f>
        <v/>
      </c>
      <c r="L33" s="47">
        <f>IF(Tables!$B$13+$A33&gt;Tables!$B$18,"",IF('3. Year by Year'!$B$3="Smooth",IF('2. Results'!$C$35="Both claim at 62",INDEX(ENG_S1_BASE!$BT$2:$BT$42,$A33+1),IF('2. Results'!$C$35="Both claim at 67",INDEX(ENG_S2_BASE!$BT$2:$BT$42,$A33+1),INDEX(ENG_S3_BASE!$BT$2:$BT$42,$A33+1))),IF('2. Results'!$C$35="Both claim at 62",INDEX(ENG_S1_STRESS!$BT$2:$BT$42,$A33+1),IF('2. Results'!$C$35="Both claim at 67",INDEX(ENG_S2_STRESS!$BT$2:$BT$42,$A33+1),INDEX(ENG_S3_STRESS!$BT$2:$BT$42,$A33+1)))))</f>
        <v/>
      </c>
      <c r="M33" s="47">
        <f>IF(Tables!$B$13+$A33&gt;Tables!$B$18,"",IF('3. Year by Year'!$B$3="Smooth",IF('2. Results'!$C$35="Both claim at 62",INDEX(ENG_S1_BASE!$BX$2:$BX$42,$A33+1),IF('2. Results'!$C$35="Both claim at 67",INDEX(ENG_S2_BASE!$BX$2:$BX$42,$A33+1),INDEX(ENG_S3_BASE!$BX$2:$BX$42,$A33+1))),IF('2. Results'!$C$35="Both claim at 62",INDEX(ENG_S1_STRESS!$BX$2:$BX$42,$A33+1),IF('2. Results'!$C$35="Both claim at 67",INDEX(ENG_S2_STRESS!$BX$2:$BX$42,$A33+1),INDEX(ENG_S3_STRESS!$BX$2:$BX$42,$A33+1)))))</f>
        <v/>
      </c>
      <c r="N33" s="47">
        <f>IF(Tables!$B$13+$A33&gt;Tables!$B$18,"",IF('3. Year by Year'!$B$3="Smooth",IF('2. Results'!$C$35="Both claim at 62",INDEX(ENG_S1_BASE!$BY$2:$BY$42,$A33+1),IF('2. Results'!$C$35="Both claim at 67",INDEX(ENG_S2_BASE!$BY$2:$BY$42,$A33+1),INDEX(ENG_S3_BASE!$BY$2:$BY$42,$A33+1))),IF('2. Results'!$C$35="Both claim at 62",INDEX(ENG_S1_STRESS!$BY$2:$BY$42,$A33+1),IF('2. Results'!$C$35="Both claim at 67",INDEX(ENG_S2_STRESS!$BY$2:$BY$42,$A33+1),INDEX(ENG_S3_STRESS!$BY$2:$BY$42,$A33+1)))))</f>
        <v/>
      </c>
      <c r="O33" s="47">
        <f>IF(Tables!$B$13+$A33&gt;Tables!$B$18,"",IF('3. Year by Year'!$B$3="Smooth",IF('2. Results'!$C$35="Both claim at 62",INDEX(ENG_S1_BASE!$BZ$2:$BZ$42,$A33+1),IF('2. Results'!$C$35="Both claim at 67",INDEX(ENG_S2_BASE!$BZ$2:$BZ$42,$A33+1),INDEX(ENG_S3_BASE!$BZ$2:$BZ$42,$A33+1))),IF('2. Results'!$C$35="Both claim at 62",INDEX(ENG_S1_STRESS!$BZ$2:$BZ$42,$A33+1),IF('2. Results'!$C$35="Both claim at 67",INDEX(ENG_S2_STRESS!$BZ$2:$BZ$42,$A33+1),INDEX(ENG_S3_STRESS!$BZ$2:$BZ$42,$A33+1)))))</f>
        <v/>
      </c>
      <c r="P33" s="47">
        <f>IF(Tables!$B$13+$A33&gt;Tables!$B$18,"",IF('3. Year by Year'!$B$3="Smooth",IF('2. Results'!$C$35="Both claim at 62",INDEX(ENG_S1_BASE!$CA$2:$CA$42,$A33+1),IF('2. Results'!$C$35="Both claim at 67",INDEX(ENG_S2_BASE!$CA$2:$CA$42,$A33+1),INDEX(ENG_S3_BASE!$CA$2:$CA$42,$A33+1))),IF('2. Results'!$C$35="Both claim at 62",INDEX(ENG_S1_STRESS!$CA$2:$CA$42,$A33+1),IF('2. Results'!$C$35="Both claim at 67",INDEX(ENG_S2_STRESS!$CA$2:$CA$42,$A33+1),INDEX(ENG_S3_STRESS!$CA$2:$CA$42,$A33+1)))))</f>
        <v/>
      </c>
      <c r="Q33" s="47">
        <f>IF(Tables!$B$13+$A33&gt;Tables!$B$18,"",IF('3. Year by Year'!$B$3="Smooth",IF('2. Results'!$C$35="Both claim at 62",INDEX(ENG_S1_BASE!$CB$2:$CB$42,$A33+1),IF('2. Results'!$C$35="Both claim at 67",INDEX(ENG_S2_BASE!$CB$2:$CB$42,$A33+1),INDEX(ENG_S3_BASE!$CB$2:$CB$42,$A33+1))),IF('2. Results'!$C$35="Both claim at 62",INDEX(ENG_S1_STRESS!$CB$2:$CB$42,$A33+1),IF('2. Results'!$C$35="Both claim at 67",INDEX(ENG_S2_STRESS!$CB$2:$CB$42,$A33+1),INDEX(ENG_S3_STRESS!$CB$2:$CB$42,$A33+1)))))</f>
        <v/>
      </c>
      <c r="R33" s="47">
        <f>IF(Tables!$B$13+$A33&gt;Tables!$B$18,"",IF('3. Year by Year'!$B$3="Smooth",IF('2. Results'!$C$35="Both claim at 62",INDEX(ENG_S1_BASE!$CC$2:$CC$42,$A33+1),IF('2. Results'!$C$35="Both claim at 67",INDEX(ENG_S2_BASE!$CC$2:$CC$42,$A33+1),INDEX(ENG_S3_BASE!$CC$2:$CC$42,$A33+1))),IF('2. Results'!$C$35="Both claim at 62",INDEX(ENG_S1_STRESS!$CC$2:$CC$42,$A33+1),IF('2. Results'!$C$35="Both claim at 67",INDEX(ENG_S2_STRESS!$CC$2:$CC$42,$A33+1),INDEX(ENG_S3_STRESS!$CC$2:$CC$42,$A33+1)))))</f>
        <v/>
      </c>
    </row>
    <row r="34">
      <c r="A34" s="43" t="n">
        <v>28</v>
      </c>
      <c r="B34" s="51">
        <f>IF(Tables!$B$13+$A34&gt;Tables!$B$18,"",Tables!$B$14+$A34)</f>
        <v/>
      </c>
      <c r="C34" s="51">
        <f>IF(Tables!$B$13+$A34&gt;Tables!$B$18,"",Tables!$B$13+$A34)</f>
        <v/>
      </c>
      <c r="D34" s="55">
        <f>IF(Tables!$B$13+$A34&gt;Tables!$B$18,"",IF('3. Year by Year'!$B$3="Smooth",IF('2. Results'!$C$35="Both claim at 62",INDEX(ENG_S1_BASE!$D$2:$D$42,$A34+1),IF('2. Results'!$C$35="Both claim at 67",INDEX(ENG_S2_BASE!$D$2:$D$42,$A34+1),INDEX(ENG_S3_BASE!$D$2:$D$42,$A34+1))),IF('2. Results'!$C$35="Both claim at 62",INDEX(ENG_S1_STRESS!$D$2:$D$42,$A34+1),IF('2. Results'!$C$35="Both claim at 67",INDEX(ENG_S2_STRESS!$D$2:$D$42,$A34+1),INDEX(ENG_S3_STRESS!$D$2:$D$42,$A34+1)))))</f>
        <v/>
      </c>
      <c r="E34" s="50">
        <f>IF(Tables!$B$13+$A34&gt;Tables!$B$18,"",IF('3. Year by Year'!$B$3="Smooth",IF('2. Results'!$C$35="Both claim at 62",INDEX(ENG_S1_BASE!$G$2:$G$42,$A34+1),IF('2. Results'!$C$35="Both claim at 67",INDEX(ENG_S2_BASE!$G$2:$G$42,$A34+1),INDEX(ENG_S3_BASE!$G$2:$G$42,$A34+1))),IF('2. Results'!$C$35="Both claim at 62",INDEX(ENG_S1_STRESS!$G$2:$G$42,$A34+1),IF('2. Results'!$C$35="Both claim at 67",INDEX(ENG_S2_STRESS!$G$2:$G$42,$A34+1),INDEX(ENG_S3_STRESS!$G$2:$G$42,$A34+1)))))</f>
        <v/>
      </c>
      <c r="F34" s="50">
        <f>IF(Tables!$B$13+$A34&gt;Tables!$B$18,"",IF('3. Year by Year'!$B$3="Smooth",IF('2. Results'!$C$35="Both claim at 62",INDEX(ENG_S1_BASE!$H$2:$H$42,$A34+1),IF('2. Results'!$C$35="Both claim at 67",INDEX(ENG_S2_BASE!$H$2:$H$42,$A34+1),INDEX(ENG_S3_BASE!$H$2:$H$42,$A34+1))),IF('2. Results'!$C$35="Both claim at 62",INDEX(ENG_S1_STRESS!$H$2:$H$42,$A34+1),IF('2. Results'!$C$35="Both claim at 67",INDEX(ENG_S2_STRESS!$H$2:$H$42,$A34+1),INDEX(ENG_S3_STRESS!$H$2:$H$42,$A34+1)))))</f>
        <v/>
      </c>
      <c r="G34" s="50">
        <f>IF(Tables!$B$13+$A34&gt;Tables!$B$18,"",IF('3. Year by Year'!$B$3="Smooth",IF('2. Results'!$C$35="Both claim at 62",INDEX(ENG_S1_BASE!$L$2:$L$42,$A34+1),IF('2. Results'!$C$35="Both claim at 67",INDEX(ENG_S2_BASE!$L$2:$L$42,$A34+1),INDEX(ENG_S3_BASE!$L$2:$L$42,$A34+1))),IF('2. Results'!$C$35="Both claim at 62",INDEX(ENG_S1_STRESS!$L$2:$L$42,$A34+1),IF('2. Results'!$C$35="Both claim at 67",INDEX(ENG_S2_STRESS!$L$2:$L$42,$A34+1),INDEX(ENG_S3_STRESS!$L$2:$L$42,$A34+1)))))</f>
        <v/>
      </c>
      <c r="H34" s="50">
        <f>IF(Tables!$B$13+$A34&gt;Tables!$B$18,"",IF('3. Year by Year'!$B$3="Smooth",IF('2. Results'!$C$35="Both claim at 62",INDEX(ENG_S1_BASE!$BQ$2:$BQ$42,$A34+1),IF('2. Results'!$C$35="Both claim at 67",INDEX(ENG_S2_BASE!$BQ$2:$BQ$42,$A34+1),INDEX(ENG_S3_BASE!$BQ$2:$BQ$42,$A34+1))),IF('2. Results'!$C$35="Both claim at 62",INDEX(ENG_S1_STRESS!$BQ$2:$BQ$42,$A34+1),IF('2. Results'!$C$35="Both claim at 67",INDEX(ENG_S2_STRESS!$BQ$2:$BQ$42,$A34+1),INDEX(ENG_S3_STRESS!$BQ$2:$BQ$42,$A34+1)))))</f>
        <v/>
      </c>
      <c r="I34" s="50">
        <f>IF(Tables!$B$13+$A34&gt;Tables!$B$18,"",IF('3. Year by Year'!$B$3="Smooth",IF('2. Results'!$C$35="Both claim at 62",INDEX(ENG_S1_BASE!$Q$2:$Q$42,$A34+1),IF('2. Results'!$C$35="Both claim at 67",INDEX(ENG_S2_BASE!$Q$2:$Q$42,$A34+1),INDEX(ENG_S3_BASE!$Q$2:$Q$42,$A34+1))),IF('2. Results'!$C$35="Both claim at 62",INDEX(ENG_S1_STRESS!$Q$2:$Q$42,$A34+1),IF('2. Results'!$C$35="Both claim at 67",INDEX(ENG_S2_STRESS!$Q$2:$Q$42,$A34+1),INDEX(ENG_S3_STRESS!$Q$2:$Q$42,$A34+1)))))</f>
        <v/>
      </c>
      <c r="J34" s="50">
        <f>IF(Tables!$B$13+$A34&gt;Tables!$B$18,"",IF('3. Year by Year'!$B$3="Smooth",IF('2. Results'!$C$35="Both claim at 62",INDEX(ENG_S1_BASE!$BV$2:$BV$42,$A34+1),IF('2. Results'!$C$35="Both claim at 67",INDEX(ENG_S2_BASE!$BV$2:$BV$42,$A34+1),INDEX(ENG_S3_BASE!$BV$2:$BV$42,$A34+1))),IF('2. Results'!$C$35="Both claim at 62",INDEX(ENG_S1_STRESS!$BV$2:$BV$42,$A34+1),IF('2. Results'!$C$35="Both claim at 67",INDEX(ENG_S2_STRESS!$BV$2:$BV$42,$A34+1),INDEX(ENG_S3_STRESS!$BV$2:$BV$42,$A34+1)))))</f>
        <v/>
      </c>
      <c r="K34" s="50">
        <f>IF(Tables!$B$13+$A34&gt;Tables!$B$18,"",IF('3. Year by Year'!$B$3="Smooth",IF('2. Results'!$C$35="Both claim at 62",INDEX(ENG_S1_BASE!$BR$2:$BR$42,$A34+1),IF('2. Results'!$C$35="Both claim at 67",INDEX(ENG_S2_BASE!$BR$2:$BR$42,$A34+1),INDEX(ENG_S3_BASE!$BR$2:$BR$42,$A34+1))),IF('2. Results'!$C$35="Both claim at 62",INDEX(ENG_S1_STRESS!$BR$2:$BR$42,$A34+1),IF('2. Results'!$C$35="Both claim at 67",INDEX(ENG_S2_STRESS!$BR$2:$BR$42,$A34+1),INDEX(ENG_S3_STRESS!$BR$2:$BR$42,$A34+1)))))</f>
        <v/>
      </c>
      <c r="L34" s="50">
        <f>IF(Tables!$B$13+$A34&gt;Tables!$B$18,"",IF('3. Year by Year'!$B$3="Smooth",IF('2. Results'!$C$35="Both claim at 62",INDEX(ENG_S1_BASE!$BT$2:$BT$42,$A34+1),IF('2. Results'!$C$35="Both claim at 67",INDEX(ENG_S2_BASE!$BT$2:$BT$42,$A34+1),INDEX(ENG_S3_BASE!$BT$2:$BT$42,$A34+1))),IF('2. Results'!$C$35="Both claim at 62",INDEX(ENG_S1_STRESS!$BT$2:$BT$42,$A34+1),IF('2. Results'!$C$35="Both claim at 67",INDEX(ENG_S2_STRESS!$BT$2:$BT$42,$A34+1),INDEX(ENG_S3_STRESS!$BT$2:$BT$42,$A34+1)))))</f>
        <v/>
      </c>
      <c r="M34" s="50">
        <f>IF(Tables!$B$13+$A34&gt;Tables!$B$18,"",IF('3. Year by Year'!$B$3="Smooth",IF('2. Results'!$C$35="Both claim at 62",INDEX(ENG_S1_BASE!$BX$2:$BX$42,$A34+1),IF('2. Results'!$C$35="Both claim at 67",INDEX(ENG_S2_BASE!$BX$2:$BX$42,$A34+1),INDEX(ENG_S3_BASE!$BX$2:$BX$42,$A34+1))),IF('2. Results'!$C$35="Both claim at 62",INDEX(ENG_S1_STRESS!$BX$2:$BX$42,$A34+1),IF('2. Results'!$C$35="Both claim at 67",INDEX(ENG_S2_STRESS!$BX$2:$BX$42,$A34+1),INDEX(ENG_S3_STRESS!$BX$2:$BX$42,$A34+1)))))</f>
        <v/>
      </c>
      <c r="N34" s="50">
        <f>IF(Tables!$B$13+$A34&gt;Tables!$B$18,"",IF('3. Year by Year'!$B$3="Smooth",IF('2. Results'!$C$35="Both claim at 62",INDEX(ENG_S1_BASE!$BY$2:$BY$42,$A34+1),IF('2. Results'!$C$35="Both claim at 67",INDEX(ENG_S2_BASE!$BY$2:$BY$42,$A34+1),INDEX(ENG_S3_BASE!$BY$2:$BY$42,$A34+1))),IF('2. Results'!$C$35="Both claim at 62",INDEX(ENG_S1_STRESS!$BY$2:$BY$42,$A34+1),IF('2. Results'!$C$35="Both claim at 67",INDEX(ENG_S2_STRESS!$BY$2:$BY$42,$A34+1),INDEX(ENG_S3_STRESS!$BY$2:$BY$42,$A34+1)))))</f>
        <v/>
      </c>
      <c r="O34" s="50">
        <f>IF(Tables!$B$13+$A34&gt;Tables!$B$18,"",IF('3. Year by Year'!$B$3="Smooth",IF('2. Results'!$C$35="Both claim at 62",INDEX(ENG_S1_BASE!$BZ$2:$BZ$42,$A34+1),IF('2. Results'!$C$35="Both claim at 67",INDEX(ENG_S2_BASE!$BZ$2:$BZ$42,$A34+1),INDEX(ENG_S3_BASE!$BZ$2:$BZ$42,$A34+1))),IF('2. Results'!$C$35="Both claim at 62",INDEX(ENG_S1_STRESS!$BZ$2:$BZ$42,$A34+1),IF('2. Results'!$C$35="Both claim at 67",INDEX(ENG_S2_STRESS!$BZ$2:$BZ$42,$A34+1),INDEX(ENG_S3_STRESS!$BZ$2:$BZ$42,$A34+1)))))</f>
        <v/>
      </c>
      <c r="P34" s="50">
        <f>IF(Tables!$B$13+$A34&gt;Tables!$B$18,"",IF('3. Year by Year'!$B$3="Smooth",IF('2. Results'!$C$35="Both claim at 62",INDEX(ENG_S1_BASE!$CA$2:$CA$42,$A34+1),IF('2. Results'!$C$35="Both claim at 67",INDEX(ENG_S2_BASE!$CA$2:$CA$42,$A34+1),INDEX(ENG_S3_BASE!$CA$2:$CA$42,$A34+1))),IF('2. Results'!$C$35="Both claim at 62",INDEX(ENG_S1_STRESS!$CA$2:$CA$42,$A34+1),IF('2. Results'!$C$35="Both claim at 67",INDEX(ENG_S2_STRESS!$CA$2:$CA$42,$A34+1),INDEX(ENG_S3_STRESS!$CA$2:$CA$42,$A34+1)))))</f>
        <v/>
      </c>
      <c r="Q34" s="50">
        <f>IF(Tables!$B$13+$A34&gt;Tables!$B$18,"",IF('3. Year by Year'!$B$3="Smooth",IF('2. Results'!$C$35="Both claim at 62",INDEX(ENG_S1_BASE!$CB$2:$CB$42,$A34+1),IF('2. Results'!$C$35="Both claim at 67",INDEX(ENG_S2_BASE!$CB$2:$CB$42,$A34+1),INDEX(ENG_S3_BASE!$CB$2:$CB$42,$A34+1))),IF('2. Results'!$C$35="Both claim at 62",INDEX(ENG_S1_STRESS!$CB$2:$CB$42,$A34+1),IF('2. Results'!$C$35="Both claim at 67",INDEX(ENG_S2_STRESS!$CB$2:$CB$42,$A34+1),INDEX(ENG_S3_STRESS!$CB$2:$CB$42,$A34+1)))))</f>
        <v/>
      </c>
      <c r="R34" s="50">
        <f>IF(Tables!$B$13+$A34&gt;Tables!$B$18,"",IF('3. Year by Year'!$B$3="Smooth",IF('2. Results'!$C$35="Both claim at 62",INDEX(ENG_S1_BASE!$CC$2:$CC$42,$A34+1),IF('2. Results'!$C$35="Both claim at 67",INDEX(ENG_S2_BASE!$CC$2:$CC$42,$A34+1),INDEX(ENG_S3_BASE!$CC$2:$CC$42,$A34+1))),IF('2. Results'!$C$35="Both claim at 62",INDEX(ENG_S1_STRESS!$CC$2:$CC$42,$A34+1),IF('2. Results'!$C$35="Both claim at 67",INDEX(ENG_S2_STRESS!$CC$2:$CC$42,$A34+1),INDEX(ENG_S3_STRESS!$CC$2:$CC$42,$A34+1)))))</f>
        <v/>
      </c>
    </row>
    <row r="35">
      <c r="A35" s="43" t="n">
        <v>29</v>
      </c>
      <c r="B35" s="48">
        <f>IF(Tables!$B$13+$A35&gt;Tables!$B$18,"",Tables!$B$14+$A35)</f>
        <v/>
      </c>
      <c r="C35" s="48">
        <f>IF(Tables!$B$13+$A35&gt;Tables!$B$18,"",Tables!$B$13+$A35)</f>
        <v/>
      </c>
      <c r="D35" s="56">
        <f>IF(Tables!$B$13+$A35&gt;Tables!$B$18,"",IF('3. Year by Year'!$B$3="Smooth",IF('2. Results'!$C$35="Both claim at 62",INDEX(ENG_S1_BASE!$D$2:$D$42,$A35+1),IF('2. Results'!$C$35="Both claim at 67",INDEX(ENG_S2_BASE!$D$2:$D$42,$A35+1),INDEX(ENG_S3_BASE!$D$2:$D$42,$A35+1))),IF('2. Results'!$C$35="Both claim at 62",INDEX(ENG_S1_STRESS!$D$2:$D$42,$A35+1),IF('2. Results'!$C$35="Both claim at 67",INDEX(ENG_S2_STRESS!$D$2:$D$42,$A35+1),INDEX(ENG_S3_STRESS!$D$2:$D$42,$A35+1)))))</f>
        <v/>
      </c>
      <c r="E35" s="47">
        <f>IF(Tables!$B$13+$A35&gt;Tables!$B$18,"",IF('3. Year by Year'!$B$3="Smooth",IF('2. Results'!$C$35="Both claim at 62",INDEX(ENG_S1_BASE!$G$2:$G$42,$A35+1),IF('2. Results'!$C$35="Both claim at 67",INDEX(ENG_S2_BASE!$G$2:$G$42,$A35+1),INDEX(ENG_S3_BASE!$G$2:$G$42,$A35+1))),IF('2. Results'!$C$35="Both claim at 62",INDEX(ENG_S1_STRESS!$G$2:$G$42,$A35+1),IF('2. Results'!$C$35="Both claim at 67",INDEX(ENG_S2_STRESS!$G$2:$G$42,$A35+1),INDEX(ENG_S3_STRESS!$G$2:$G$42,$A35+1)))))</f>
        <v/>
      </c>
      <c r="F35" s="47">
        <f>IF(Tables!$B$13+$A35&gt;Tables!$B$18,"",IF('3. Year by Year'!$B$3="Smooth",IF('2. Results'!$C$35="Both claim at 62",INDEX(ENG_S1_BASE!$H$2:$H$42,$A35+1),IF('2. Results'!$C$35="Both claim at 67",INDEX(ENG_S2_BASE!$H$2:$H$42,$A35+1),INDEX(ENG_S3_BASE!$H$2:$H$42,$A35+1))),IF('2. Results'!$C$35="Both claim at 62",INDEX(ENG_S1_STRESS!$H$2:$H$42,$A35+1),IF('2. Results'!$C$35="Both claim at 67",INDEX(ENG_S2_STRESS!$H$2:$H$42,$A35+1),INDEX(ENG_S3_STRESS!$H$2:$H$42,$A35+1)))))</f>
        <v/>
      </c>
      <c r="G35" s="47">
        <f>IF(Tables!$B$13+$A35&gt;Tables!$B$18,"",IF('3. Year by Year'!$B$3="Smooth",IF('2. Results'!$C$35="Both claim at 62",INDEX(ENG_S1_BASE!$L$2:$L$42,$A35+1),IF('2. Results'!$C$35="Both claim at 67",INDEX(ENG_S2_BASE!$L$2:$L$42,$A35+1),INDEX(ENG_S3_BASE!$L$2:$L$42,$A35+1))),IF('2. Results'!$C$35="Both claim at 62",INDEX(ENG_S1_STRESS!$L$2:$L$42,$A35+1),IF('2. Results'!$C$35="Both claim at 67",INDEX(ENG_S2_STRESS!$L$2:$L$42,$A35+1),INDEX(ENG_S3_STRESS!$L$2:$L$42,$A35+1)))))</f>
        <v/>
      </c>
      <c r="H35" s="47">
        <f>IF(Tables!$B$13+$A35&gt;Tables!$B$18,"",IF('3. Year by Year'!$B$3="Smooth",IF('2. Results'!$C$35="Both claim at 62",INDEX(ENG_S1_BASE!$BQ$2:$BQ$42,$A35+1),IF('2. Results'!$C$35="Both claim at 67",INDEX(ENG_S2_BASE!$BQ$2:$BQ$42,$A35+1),INDEX(ENG_S3_BASE!$BQ$2:$BQ$42,$A35+1))),IF('2. Results'!$C$35="Both claim at 62",INDEX(ENG_S1_STRESS!$BQ$2:$BQ$42,$A35+1),IF('2. Results'!$C$35="Both claim at 67",INDEX(ENG_S2_STRESS!$BQ$2:$BQ$42,$A35+1),INDEX(ENG_S3_STRESS!$BQ$2:$BQ$42,$A35+1)))))</f>
        <v/>
      </c>
      <c r="I35" s="47">
        <f>IF(Tables!$B$13+$A35&gt;Tables!$B$18,"",IF('3. Year by Year'!$B$3="Smooth",IF('2. Results'!$C$35="Both claim at 62",INDEX(ENG_S1_BASE!$Q$2:$Q$42,$A35+1),IF('2. Results'!$C$35="Both claim at 67",INDEX(ENG_S2_BASE!$Q$2:$Q$42,$A35+1),INDEX(ENG_S3_BASE!$Q$2:$Q$42,$A35+1))),IF('2. Results'!$C$35="Both claim at 62",INDEX(ENG_S1_STRESS!$Q$2:$Q$42,$A35+1),IF('2. Results'!$C$35="Both claim at 67",INDEX(ENG_S2_STRESS!$Q$2:$Q$42,$A35+1),INDEX(ENG_S3_STRESS!$Q$2:$Q$42,$A35+1)))))</f>
        <v/>
      </c>
      <c r="J35" s="47">
        <f>IF(Tables!$B$13+$A35&gt;Tables!$B$18,"",IF('3. Year by Year'!$B$3="Smooth",IF('2. Results'!$C$35="Both claim at 62",INDEX(ENG_S1_BASE!$BV$2:$BV$42,$A35+1),IF('2. Results'!$C$35="Both claim at 67",INDEX(ENG_S2_BASE!$BV$2:$BV$42,$A35+1),INDEX(ENG_S3_BASE!$BV$2:$BV$42,$A35+1))),IF('2. Results'!$C$35="Both claim at 62",INDEX(ENG_S1_STRESS!$BV$2:$BV$42,$A35+1),IF('2. Results'!$C$35="Both claim at 67",INDEX(ENG_S2_STRESS!$BV$2:$BV$42,$A35+1),INDEX(ENG_S3_STRESS!$BV$2:$BV$42,$A35+1)))))</f>
        <v/>
      </c>
      <c r="K35" s="47">
        <f>IF(Tables!$B$13+$A35&gt;Tables!$B$18,"",IF('3. Year by Year'!$B$3="Smooth",IF('2. Results'!$C$35="Both claim at 62",INDEX(ENG_S1_BASE!$BR$2:$BR$42,$A35+1),IF('2. Results'!$C$35="Both claim at 67",INDEX(ENG_S2_BASE!$BR$2:$BR$42,$A35+1),INDEX(ENG_S3_BASE!$BR$2:$BR$42,$A35+1))),IF('2. Results'!$C$35="Both claim at 62",INDEX(ENG_S1_STRESS!$BR$2:$BR$42,$A35+1),IF('2. Results'!$C$35="Both claim at 67",INDEX(ENG_S2_STRESS!$BR$2:$BR$42,$A35+1),INDEX(ENG_S3_STRESS!$BR$2:$BR$42,$A35+1)))))</f>
        <v/>
      </c>
      <c r="L35" s="47">
        <f>IF(Tables!$B$13+$A35&gt;Tables!$B$18,"",IF('3. Year by Year'!$B$3="Smooth",IF('2. Results'!$C$35="Both claim at 62",INDEX(ENG_S1_BASE!$BT$2:$BT$42,$A35+1),IF('2. Results'!$C$35="Both claim at 67",INDEX(ENG_S2_BASE!$BT$2:$BT$42,$A35+1),INDEX(ENG_S3_BASE!$BT$2:$BT$42,$A35+1))),IF('2. Results'!$C$35="Both claim at 62",INDEX(ENG_S1_STRESS!$BT$2:$BT$42,$A35+1),IF('2. Results'!$C$35="Both claim at 67",INDEX(ENG_S2_STRESS!$BT$2:$BT$42,$A35+1),INDEX(ENG_S3_STRESS!$BT$2:$BT$42,$A35+1)))))</f>
        <v/>
      </c>
      <c r="M35" s="47">
        <f>IF(Tables!$B$13+$A35&gt;Tables!$B$18,"",IF('3. Year by Year'!$B$3="Smooth",IF('2. Results'!$C$35="Both claim at 62",INDEX(ENG_S1_BASE!$BX$2:$BX$42,$A35+1),IF('2. Results'!$C$35="Both claim at 67",INDEX(ENG_S2_BASE!$BX$2:$BX$42,$A35+1),INDEX(ENG_S3_BASE!$BX$2:$BX$42,$A35+1))),IF('2. Results'!$C$35="Both claim at 62",INDEX(ENG_S1_STRESS!$BX$2:$BX$42,$A35+1),IF('2. Results'!$C$35="Both claim at 67",INDEX(ENG_S2_STRESS!$BX$2:$BX$42,$A35+1),INDEX(ENG_S3_STRESS!$BX$2:$BX$42,$A35+1)))))</f>
        <v/>
      </c>
      <c r="N35" s="47">
        <f>IF(Tables!$B$13+$A35&gt;Tables!$B$18,"",IF('3. Year by Year'!$B$3="Smooth",IF('2. Results'!$C$35="Both claim at 62",INDEX(ENG_S1_BASE!$BY$2:$BY$42,$A35+1),IF('2. Results'!$C$35="Both claim at 67",INDEX(ENG_S2_BASE!$BY$2:$BY$42,$A35+1),INDEX(ENG_S3_BASE!$BY$2:$BY$42,$A35+1))),IF('2. Results'!$C$35="Both claim at 62",INDEX(ENG_S1_STRESS!$BY$2:$BY$42,$A35+1),IF('2. Results'!$C$35="Both claim at 67",INDEX(ENG_S2_STRESS!$BY$2:$BY$42,$A35+1),INDEX(ENG_S3_STRESS!$BY$2:$BY$42,$A35+1)))))</f>
        <v/>
      </c>
      <c r="O35" s="47">
        <f>IF(Tables!$B$13+$A35&gt;Tables!$B$18,"",IF('3. Year by Year'!$B$3="Smooth",IF('2. Results'!$C$35="Both claim at 62",INDEX(ENG_S1_BASE!$BZ$2:$BZ$42,$A35+1),IF('2. Results'!$C$35="Both claim at 67",INDEX(ENG_S2_BASE!$BZ$2:$BZ$42,$A35+1),INDEX(ENG_S3_BASE!$BZ$2:$BZ$42,$A35+1))),IF('2. Results'!$C$35="Both claim at 62",INDEX(ENG_S1_STRESS!$BZ$2:$BZ$42,$A35+1),IF('2. Results'!$C$35="Both claim at 67",INDEX(ENG_S2_STRESS!$BZ$2:$BZ$42,$A35+1),INDEX(ENG_S3_STRESS!$BZ$2:$BZ$42,$A35+1)))))</f>
        <v/>
      </c>
      <c r="P35" s="47">
        <f>IF(Tables!$B$13+$A35&gt;Tables!$B$18,"",IF('3. Year by Year'!$B$3="Smooth",IF('2. Results'!$C$35="Both claim at 62",INDEX(ENG_S1_BASE!$CA$2:$CA$42,$A35+1),IF('2. Results'!$C$35="Both claim at 67",INDEX(ENG_S2_BASE!$CA$2:$CA$42,$A35+1),INDEX(ENG_S3_BASE!$CA$2:$CA$42,$A35+1))),IF('2. Results'!$C$35="Both claim at 62",INDEX(ENG_S1_STRESS!$CA$2:$CA$42,$A35+1),IF('2. Results'!$C$35="Both claim at 67",INDEX(ENG_S2_STRESS!$CA$2:$CA$42,$A35+1),INDEX(ENG_S3_STRESS!$CA$2:$CA$42,$A35+1)))))</f>
        <v/>
      </c>
      <c r="Q35" s="47">
        <f>IF(Tables!$B$13+$A35&gt;Tables!$B$18,"",IF('3. Year by Year'!$B$3="Smooth",IF('2. Results'!$C$35="Both claim at 62",INDEX(ENG_S1_BASE!$CB$2:$CB$42,$A35+1),IF('2. Results'!$C$35="Both claim at 67",INDEX(ENG_S2_BASE!$CB$2:$CB$42,$A35+1),INDEX(ENG_S3_BASE!$CB$2:$CB$42,$A35+1))),IF('2. Results'!$C$35="Both claim at 62",INDEX(ENG_S1_STRESS!$CB$2:$CB$42,$A35+1),IF('2. Results'!$C$35="Both claim at 67",INDEX(ENG_S2_STRESS!$CB$2:$CB$42,$A35+1),INDEX(ENG_S3_STRESS!$CB$2:$CB$42,$A35+1)))))</f>
        <v/>
      </c>
      <c r="R35" s="47">
        <f>IF(Tables!$B$13+$A35&gt;Tables!$B$18,"",IF('3. Year by Year'!$B$3="Smooth",IF('2. Results'!$C$35="Both claim at 62",INDEX(ENG_S1_BASE!$CC$2:$CC$42,$A35+1),IF('2. Results'!$C$35="Both claim at 67",INDEX(ENG_S2_BASE!$CC$2:$CC$42,$A35+1),INDEX(ENG_S3_BASE!$CC$2:$CC$42,$A35+1))),IF('2. Results'!$C$35="Both claim at 62",INDEX(ENG_S1_STRESS!$CC$2:$CC$42,$A35+1),IF('2. Results'!$C$35="Both claim at 67",INDEX(ENG_S2_STRESS!$CC$2:$CC$42,$A35+1),INDEX(ENG_S3_STRESS!$CC$2:$CC$42,$A35+1)))))</f>
        <v/>
      </c>
    </row>
    <row r="36">
      <c r="A36" s="43" t="n">
        <v>30</v>
      </c>
      <c r="B36" s="51">
        <f>IF(Tables!$B$13+$A36&gt;Tables!$B$18,"",Tables!$B$14+$A36)</f>
        <v/>
      </c>
      <c r="C36" s="51">
        <f>IF(Tables!$B$13+$A36&gt;Tables!$B$18,"",Tables!$B$13+$A36)</f>
        <v/>
      </c>
      <c r="D36" s="55">
        <f>IF(Tables!$B$13+$A36&gt;Tables!$B$18,"",IF('3. Year by Year'!$B$3="Smooth",IF('2. Results'!$C$35="Both claim at 62",INDEX(ENG_S1_BASE!$D$2:$D$42,$A36+1),IF('2. Results'!$C$35="Both claim at 67",INDEX(ENG_S2_BASE!$D$2:$D$42,$A36+1),INDEX(ENG_S3_BASE!$D$2:$D$42,$A36+1))),IF('2. Results'!$C$35="Both claim at 62",INDEX(ENG_S1_STRESS!$D$2:$D$42,$A36+1),IF('2. Results'!$C$35="Both claim at 67",INDEX(ENG_S2_STRESS!$D$2:$D$42,$A36+1),INDEX(ENG_S3_STRESS!$D$2:$D$42,$A36+1)))))</f>
        <v/>
      </c>
      <c r="E36" s="50">
        <f>IF(Tables!$B$13+$A36&gt;Tables!$B$18,"",IF('3. Year by Year'!$B$3="Smooth",IF('2. Results'!$C$35="Both claim at 62",INDEX(ENG_S1_BASE!$G$2:$G$42,$A36+1),IF('2. Results'!$C$35="Both claim at 67",INDEX(ENG_S2_BASE!$G$2:$G$42,$A36+1),INDEX(ENG_S3_BASE!$G$2:$G$42,$A36+1))),IF('2. Results'!$C$35="Both claim at 62",INDEX(ENG_S1_STRESS!$G$2:$G$42,$A36+1),IF('2. Results'!$C$35="Both claim at 67",INDEX(ENG_S2_STRESS!$G$2:$G$42,$A36+1),INDEX(ENG_S3_STRESS!$G$2:$G$42,$A36+1)))))</f>
        <v/>
      </c>
      <c r="F36" s="50">
        <f>IF(Tables!$B$13+$A36&gt;Tables!$B$18,"",IF('3. Year by Year'!$B$3="Smooth",IF('2. Results'!$C$35="Both claim at 62",INDEX(ENG_S1_BASE!$H$2:$H$42,$A36+1),IF('2. Results'!$C$35="Both claim at 67",INDEX(ENG_S2_BASE!$H$2:$H$42,$A36+1),INDEX(ENG_S3_BASE!$H$2:$H$42,$A36+1))),IF('2. Results'!$C$35="Both claim at 62",INDEX(ENG_S1_STRESS!$H$2:$H$42,$A36+1),IF('2. Results'!$C$35="Both claim at 67",INDEX(ENG_S2_STRESS!$H$2:$H$42,$A36+1),INDEX(ENG_S3_STRESS!$H$2:$H$42,$A36+1)))))</f>
        <v/>
      </c>
      <c r="G36" s="50">
        <f>IF(Tables!$B$13+$A36&gt;Tables!$B$18,"",IF('3. Year by Year'!$B$3="Smooth",IF('2. Results'!$C$35="Both claim at 62",INDEX(ENG_S1_BASE!$L$2:$L$42,$A36+1),IF('2. Results'!$C$35="Both claim at 67",INDEX(ENG_S2_BASE!$L$2:$L$42,$A36+1),INDEX(ENG_S3_BASE!$L$2:$L$42,$A36+1))),IF('2. Results'!$C$35="Both claim at 62",INDEX(ENG_S1_STRESS!$L$2:$L$42,$A36+1),IF('2. Results'!$C$35="Both claim at 67",INDEX(ENG_S2_STRESS!$L$2:$L$42,$A36+1),INDEX(ENG_S3_STRESS!$L$2:$L$42,$A36+1)))))</f>
        <v/>
      </c>
      <c r="H36" s="50">
        <f>IF(Tables!$B$13+$A36&gt;Tables!$B$18,"",IF('3. Year by Year'!$B$3="Smooth",IF('2. Results'!$C$35="Both claim at 62",INDEX(ENG_S1_BASE!$BQ$2:$BQ$42,$A36+1),IF('2. Results'!$C$35="Both claim at 67",INDEX(ENG_S2_BASE!$BQ$2:$BQ$42,$A36+1),INDEX(ENG_S3_BASE!$BQ$2:$BQ$42,$A36+1))),IF('2. Results'!$C$35="Both claim at 62",INDEX(ENG_S1_STRESS!$BQ$2:$BQ$42,$A36+1),IF('2. Results'!$C$35="Both claim at 67",INDEX(ENG_S2_STRESS!$BQ$2:$BQ$42,$A36+1),INDEX(ENG_S3_STRESS!$BQ$2:$BQ$42,$A36+1)))))</f>
        <v/>
      </c>
      <c r="I36" s="50">
        <f>IF(Tables!$B$13+$A36&gt;Tables!$B$18,"",IF('3. Year by Year'!$B$3="Smooth",IF('2. Results'!$C$35="Both claim at 62",INDEX(ENG_S1_BASE!$Q$2:$Q$42,$A36+1),IF('2. Results'!$C$35="Both claim at 67",INDEX(ENG_S2_BASE!$Q$2:$Q$42,$A36+1),INDEX(ENG_S3_BASE!$Q$2:$Q$42,$A36+1))),IF('2. Results'!$C$35="Both claim at 62",INDEX(ENG_S1_STRESS!$Q$2:$Q$42,$A36+1),IF('2. Results'!$C$35="Both claim at 67",INDEX(ENG_S2_STRESS!$Q$2:$Q$42,$A36+1),INDEX(ENG_S3_STRESS!$Q$2:$Q$42,$A36+1)))))</f>
        <v/>
      </c>
      <c r="J36" s="50">
        <f>IF(Tables!$B$13+$A36&gt;Tables!$B$18,"",IF('3. Year by Year'!$B$3="Smooth",IF('2. Results'!$C$35="Both claim at 62",INDEX(ENG_S1_BASE!$BV$2:$BV$42,$A36+1),IF('2. Results'!$C$35="Both claim at 67",INDEX(ENG_S2_BASE!$BV$2:$BV$42,$A36+1),INDEX(ENG_S3_BASE!$BV$2:$BV$42,$A36+1))),IF('2. Results'!$C$35="Both claim at 62",INDEX(ENG_S1_STRESS!$BV$2:$BV$42,$A36+1),IF('2. Results'!$C$35="Both claim at 67",INDEX(ENG_S2_STRESS!$BV$2:$BV$42,$A36+1),INDEX(ENG_S3_STRESS!$BV$2:$BV$42,$A36+1)))))</f>
        <v/>
      </c>
      <c r="K36" s="50">
        <f>IF(Tables!$B$13+$A36&gt;Tables!$B$18,"",IF('3. Year by Year'!$B$3="Smooth",IF('2. Results'!$C$35="Both claim at 62",INDEX(ENG_S1_BASE!$BR$2:$BR$42,$A36+1),IF('2. Results'!$C$35="Both claim at 67",INDEX(ENG_S2_BASE!$BR$2:$BR$42,$A36+1),INDEX(ENG_S3_BASE!$BR$2:$BR$42,$A36+1))),IF('2. Results'!$C$35="Both claim at 62",INDEX(ENG_S1_STRESS!$BR$2:$BR$42,$A36+1),IF('2. Results'!$C$35="Both claim at 67",INDEX(ENG_S2_STRESS!$BR$2:$BR$42,$A36+1),INDEX(ENG_S3_STRESS!$BR$2:$BR$42,$A36+1)))))</f>
        <v/>
      </c>
      <c r="L36" s="50">
        <f>IF(Tables!$B$13+$A36&gt;Tables!$B$18,"",IF('3. Year by Year'!$B$3="Smooth",IF('2. Results'!$C$35="Both claim at 62",INDEX(ENG_S1_BASE!$BT$2:$BT$42,$A36+1),IF('2. Results'!$C$35="Both claim at 67",INDEX(ENG_S2_BASE!$BT$2:$BT$42,$A36+1),INDEX(ENG_S3_BASE!$BT$2:$BT$42,$A36+1))),IF('2. Results'!$C$35="Both claim at 62",INDEX(ENG_S1_STRESS!$BT$2:$BT$42,$A36+1),IF('2. Results'!$C$35="Both claim at 67",INDEX(ENG_S2_STRESS!$BT$2:$BT$42,$A36+1),INDEX(ENG_S3_STRESS!$BT$2:$BT$42,$A36+1)))))</f>
        <v/>
      </c>
      <c r="M36" s="50">
        <f>IF(Tables!$B$13+$A36&gt;Tables!$B$18,"",IF('3. Year by Year'!$B$3="Smooth",IF('2. Results'!$C$35="Both claim at 62",INDEX(ENG_S1_BASE!$BX$2:$BX$42,$A36+1),IF('2. Results'!$C$35="Both claim at 67",INDEX(ENG_S2_BASE!$BX$2:$BX$42,$A36+1),INDEX(ENG_S3_BASE!$BX$2:$BX$42,$A36+1))),IF('2. Results'!$C$35="Both claim at 62",INDEX(ENG_S1_STRESS!$BX$2:$BX$42,$A36+1),IF('2. Results'!$C$35="Both claim at 67",INDEX(ENG_S2_STRESS!$BX$2:$BX$42,$A36+1),INDEX(ENG_S3_STRESS!$BX$2:$BX$42,$A36+1)))))</f>
        <v/>
      </c>
      <c r="N36" s="50">
        <f>IF(Tables!$B$13+$A36&gt;Tables!$B$18,"",IF('3. Year by Year'!$B$3="Smooth",IF('2. Results'!$C$35="Both claim at 62",INDEX(ENG_S1_BASE!$BY$2:$BY$42,$A36+1),IF('2. Results'!$C$35="Both claim at 67",INDEX(ENG_S2_BASE!$BY$2:$BY$42,$A36+1),INDEX(ENG_S3_BASE!$BY$2:$BY$42,$A36+1))),IF('2. Results'!$C$35="Both claim at 62",INDEX(ENG_S1_STRESS!$BY$2:$BY$42,$A36+1),IF('2. Results'!$C$35="Both claim at 67",INDEX(ENG_S2_STRESS!$BY$2:$BY$42,$A36+1),INDEX(ENG_S3_STRESS!$BY$2:$BY$42,$A36+1)))))</f>
        <v/>
      </c>
      <c r="O36" s="50">
        <f>IF(Tables!$B$13+$A36&gt;Tables!$B$18,"",IF('3. Year by Year'!$B$3="Smooth",IF('2. Results'!$C$35="Both claim at 62",INDEX(ENG_S1_BASE!$BZ$2:$BZ$42,$A36+1),IF('2. Results'!$C$35="Both claim at 67",INDEX(ENG_S2_BASE!$BZ$2:$BZ$42,$A36+1),INDEX(ENG_S3_BASE!$BZ$2:$BZ$42,$A36+1))),IF('2. Results'!$C$35="Both claim at 62",INDEX(ENG_S1_STRESS!$BZ$2:$BZ$42,$A36+1),IF('2. Results'!$C$35="Both claim at 67",INDEX(ENG_S2_STRESS!$BZ$2:$BZ$42,$A36+1),INDEX(ENG_S3_STRESS!$BZ$2:$BZ$42,$A36+1)))))</f>
        <v/>
      </c>
      <c r="P36" s="50">
        <f>IF(Tables!$B$13+$A36&gt;Tables!$B$18,"",IF('3. Year by Year'!$B$3="Smooth",IF('2. Results'!$C$35="Both claim at 62",INDEX(ENG_S1_BASE!$CA$2:$CA$42,$A36+1),IF('2. Results'!$C$35="Both claim at 67",INDEX(ENG_S2_BASE!$CA$2:$CA$42,$A36+1),INDEX(ENG_S3_BASE!$CA$2:$CA$42,$A36+1))),IF('2. Results'!$C$35="Both claim at 62",INDEX(ENG_S1_STRESS!$CA$2:$CA$42,$A36+1),IF('2. Results'!$C$35="Both claim at 67",INDEX(ENG_S2_STRESS!$CA$2:$CA$42,$A36+1),INDEX(ENG_S3_STRESS!$CA$2:$CA$42,$A36+1)))))</f>
        <v/>
      </c>
      <c r="Q36" s="50">
        <f>IF(Tables!$B$13+$A36&gt;Tables!$B$18,"",IF('3. Year by Year'!$B$3="Smooth",IF('2. Results'!$C$35="Both claim at 62",INDEX(ENG_S1_BASE!$CB$2:$CB$42,$A36+1),IF('2. Results'!$C$35="Both claim at 67",INDEX(ENG_S2_BASE!$CB$2:$CB$42,$A36+1),INDEX(ENG_S3_BASE!$CB$2:$CB$42,$A36+1))),IF('2. Results'!$C$35="Both claim at 62",INDEX(ENG_S1_STRESS!$CB$2:$CB$42,$A36+1),IF('2. Results'!$C$35="Both claim at 67",INDEX(ENG_S2_STRESS!$CB$2:$CB$42,$A36+1),INDEX(ENG_S3_STRESS!$CB$2:$CB$42,$A36+1)))))</f>
        <v/>
      </c>
      <c r="R36" s="50">
        <f>IF(Tables!$B$13+$A36&gt;Tables!$B$18,"",IF('3. Year by Year'!$B$3="Smooth",IF('2. Results'!$C$35="Both claim at 62",INDEX(ENG_S1_BASE!$CC$2:$CC$42,$A36+1),IF('2. Results'!$C$35="Both claim at 67",INDEX(ENG_S2_BASE!$CC$2:$CC$42,$A36+1),INDEX(ENG_S3_BASE!$CC$2:$CC$42,$A36+1))),IF('2. Results'!$C$35="Both claim at 62",INDEX(ENG_S1_STRESS!$CC$2:$CC$42,$A36+1),IF('2. Results'!$C$35="Both claim at 67",INDEX(ENG_S2_STRESS!$CC$2:$CC$42,$A36+1),INDEX(ENG_S3_STRESS!$CC$2:$CC$42,$A36+1)))))</f>
        <v/>
      </c>
    </row>
    <row r="37">
      <c r="A37" s="43" t="n">
        <v>31</v>
      </c>
      <c r="B37" s="48">
        <f>IF(Tables!$B$13+$A37&gt;Tables!$B$18,"",Tables!$B$14+$A37)</f>
        <v/>
      </c>
      <c r="C37" s="48">
        <f>IF(Tables!$B$13+$A37&gt;Tables!$B$18,"",Tables!$B$13+$A37)</f>
        <v/>
      </c>
      <c r="D37" s="56">
        <f>IF(Tables!$B$13+$A37&gt;Tables!$B$18,"",IF('3. Year by Year'!$B$3="Smooth",IF('2. Results'!$C$35="Both claim at 62",INDEX(ENG_S1_BASE!$D$2:$D$42,$A37+1),IF('2. Results'!$C$35="Both claim at 67",INDEX(ENG_S2_BASE!$D$2:$D$42,$A37+1),INDEX(ENG_S3_BASE!$D$2:$D$42,$A37+1))),IF('2. Results'!$C$35="Both claim at 62",INDEX(ENG_S1_STRESS!$D$2:$D$42,$A37+1),IF('2. Results'!$C$35="Both claim at 67",INDEX(ENG_S2_STRESS!$D$2:$D$42,$A37+1),INDEX(ENG_S3_STRESS!$D$2:$D$42,$A37+1)))))</f>
        <v/>
      </c>
      <c r="E37" s="47">
        <f>IF(Tables!$B$13+$A37&gt;Tables!$B$18,"",IF('3. Year by Year'!$B$3="Smooth",IF('2. Results'!$C$35="Both claim at 62",INDEX(ENG_S1_BASE!$G$2:$G$42,$A37+1),IF('2. Results'!$C$35="Both claim at 67",INDEX(ENG_S2_BASE!$G$2:$G$42,$A37+1),INDEX(ENG_S3_BASE!$G$2:$G$42,$A37+1))),IF('2. Results'!$C$35="Both claim at 62",INDEX(ENG_S1_STRESS!$G$2:$G$42,$A37+1),IF('2. Results'!$C$35="Both claim at 67",INDEX(ENG_S2_STRESS!$G$2:$G$42,$A37+1),INDEX(ENG_S3_STRESS!$G$2:$G$42,$A37+1)))))</f>
        <v/>
      </c>
      <c r="F37" s="47">
        <f>IF(Tables!$B$13+$A37&gt;Tables!$B$18,"",IF('3. Year by Year'!$B$3="Smooth",IF('2. Results'!$C$35="Both claim at 62",INDEX(ENG_S1_BASE!$H$2:$H$42,$A37+1),IF('2. Results'!$C$35="Both claim at 67",INDEX(ENG_S2_BASE!$H$2:$H$42,$A37+1),INDEX(ENG_S3_BASE!$H$2:$H$42,$A37+1))),IF('2. Results'!$C$35="Both claim at 62",INDEX(ENG_S1_STRESS!$H$2:$H$42,$A37+1),IF('2. Results'!$C$35="Both claim at 67",INDEX(ENG_S2_STRESS!$H$2:$H$42,$A37+1),INDEX(ENG_S3_STRESS!$H$2:$H$42,$A37+1)))))</f>
        <v/>
      </c>
      <c r="G37" s="47">
        <f>IF(Tables!$B$13+$A37&gt;Tables!$B$18,"",IF('3. Year by Year'!$B$3="Smooth",IF('2. Results'!$C$35="Both claim at 62",INDEX(ENG_S1_BASE!$L$2:$L$42,$A37+1),IF('2. Results'!$C$35="Both claim at 67",INDEX(ENG_S2_BASE!$L$2:$L$42,$A37+1),INDEX(ENG_S3_BASE!$L$2:$L$42,$A37+1))),IF('2. Results'!$C$35="Both claim at 62",INDEX(ENG_S1_STRESS!$L$2:$L$42,$A37+1),IF('2. Results'!$C$35="Both claim at 67",INDEX(ENG_S2_STRESS!$L$2:$L$42,$A37+1),INDEX(ENG_S3_STRESS!$L$2:$L$42,$A37+1)))))</f>
        <v/>
      </c>
      <c r="H37" s="47">
        <f>IF(Tables!$B$13+$A37&gt;Tables!$B$18,"",IF('3. Year by Year'!$B$3="Smooth",IF('2. Results'!$C$35="Both claim at 62",INDEX(ENG_S1_BASE!$BQ$2:$BQ$42,$A37+1),IF('2. Results'!$C$35="Both claim at 67",INDEX(ENG_S2_BASE!$BQ$2:$BQ$42,$A37+1),INDEX(ENG_S3_BASE!$BQ$2:$BQ$42,$A37+1))),IF('2. Results'!$C$35="Both claim at 62",INDEX(ENG_S1_STRESS!$BQ$2:$BQ$42,$A37+1),IF('2. Results'!$C$35="Both claim at 67",INDEX(ENG_S2_STRESS!$BQ$2:$BQ$42,$A37+1),INDEX(ENG_S3_STRESS!$BQ$2:$BQ$42,$A37+1)))))</f>
        <v/>
      </c>
      <c r="I37" s="47">
        <f>IF(Tables!$B$13+$A37&gt;Tables!$B$18,"",IF('3. Year by Year'!$B$3="Smooth",IF('2. Results'!$C$35="Both claim at 62",INDEX(ENG_S1_BASE!$Q$2:$Q$42,$A37+1),IF('2. Results'!$C$35="Both claim at 67",INDEX(ENG_S2_BASE!$Q$2:$Q$42,$A37+1),INDEX(ENG_S3_BASE!$Q$2:$Q$42,$A37+1))),IF('2. Results'!$C$35="Both claim at 62",INDEX(ENG_S1_STRESS!$Q$2:$Q$42,$A37+1),IF('2. Results'!$C$35="Both claim at 67",INDEX(ENG_S2_STRESS!$Q$2:$Q$42,$A37+1),INDEX(ENG_S3_STRESS!$Q$2:$Q$42,$A37+1)))))</f>
        <v/>
      </c>
      <c r="J37" s="47">
        <f>IF(Tables!$B$13+$A37&gt;Tables!$B$18,"",IF('3. Year by Year'!$B$3="Smooth",IF('2. Results'!$C$35="Both claim at 62",INDEX(ENG_S1_BASE!$BV$2:$BV$42,$A37+1),IF('2. Results'!$C$35="Both claim at 67",INDEX(ENG_S2_BASE!$BV$2:$BV$42,$A37+1),INDEX(ENG_S3_BASE!$BV$2:$BV$42,$A37+1))),IF('2. Results'!$C$35="Both claim at 62",INDEX(ENG_S1_STRESS!$BV$2:$BV$42,$A37+1),IF('2. Results'!$C$35="Both claim at 67",INDEX(ENG_S2_STRESS!$BV$2:$BV$42,$A37+1),INDEX(ENG_S3_STRESS!$BV$2:$BV$42,$A37+1)))))</f>
        <v/>
      </c>
      <c r="K37" s="47">
        <f>IF(Tables!$B$13+$A37&gt;Tables!$B$18,"",IF('3. Year by Year'!$B$3="Smooth",IF('2. Results'!$C$35="Both claim at 62",INDEX(ENG_S1_BASE!$BR$2:$BR$42,$A37+1),IF('2. Results'!$C$35="Both claim at 67",INDEX(ENG_S2_BASE!$BR$2:$BR$42,$A37+1),INDEX(ENG_S3_BASE!$BR$2:$BR$42,$A37+1))),IF('2. Results'!$C$35="Both claim at 62",INDEX(ENG_S1_STRESS!$BR$2:$BR$42,$A37+1),IF('2. Results'!$C$35="Both claim at 67",INDEX(ENG_S2_STRESS!$BR$2:$BR$42,$A37+1),INDEX(ENG_S3_STRESS!$BR$2:$BR$42,$A37+1)))))</f>
        <v/>
      </c>
      <c r="L37" s="47">
        <f>IF(Tables!$B$13+$A37&gt;Tables!$B$18,"",IF('3. Year by Year'!$B$3="Smooth",IF('2. Results'!$C$35="Both claim at 62",INDEX(ENG_S1_BASE!$BT$2:$BT$42,$A37+1),IF('2. Results'!$C$35="Both claim at 67",INDEX(ENG_S2_BASE!$BT$2:$BT$42,$A37+1),INDEX(ENG_S3_BASE!$BT$2:$BT$42,$A37+1))),IF('2. Results'!$C$35="Both claim at 62",INDEX(ENG_S1_STRESS!$BT$2:$BT$42,$A37+1),IF('2. Results'!$C$35="Both claim at 67",INDEX(ENG_S2_STRESS!$BT$2:$BT$42,$A37+1),INDEX(ENG_S3_STRESS!$BT$2:$BT$42,$A37+1)))))</f>
        <v/>
      </c>
      <c r="M37" s="47">
        <f>IF(Tables!$B$13+$A37&gt;Tables!$B$18,"",IF('3. Year by Year'!$B$3="Smooth",IF('2. Results'!$C$35="Both claim at 62",INDEX(ENG_S1_BASE!$BX$2:$BX$42,$A37+1),IF('2. Results'!$C$35="Both claim at 67",INDEX(ENG_S2_BASE!$BX$2:$BX$42,$A37+1),INDEX(ENG_S3_BASE!$BX$2:$BX$42,$A37+1))),IF('2. Results'!$C$35="Both claim at 62",INDEX(ENG_S1_STRESS!$BX$2:$BX$42,$A37+1),IF('2. Results'!$C$35="Both claim at 67",INDEX(ENG_S2_STRESS!$BX$2:$BX$42,$A37+1),INDEX(ENG_S3_STRESS!$BX$2:$BX$42,$A37+1)))))</f>
        <v/>
      </c>
      <c r="N37" s="47">
        <f>IF(Tables!$B$13+$A37&gt;Tables!$B$18,"",IF('3. Year by Year'!$B$3="Smooth",IF('2. Results'!$C$35="Both claim at 62",INDEX(ENG_S1_BASE!$BY$2:$BY$42,$A37+1),IF('2. Results'!$C$35="Both claim at 67",INDEX(ENG_S2_BASE!$BY$2:$BY$42,$A37+1),INDEX(ENG_S3_BASE!$BY$2:$BY$42,$A37+1))),IF('2. Results'!$C$35="Both claim at 62",INDEX(ENG_S1_STRESS!$BY$2:$BY$42,$A37+1),IF('2. Results'!$C$35="Both claim at 67",INDEX(ENG_S2_STRESS!$BY$2:$BY$42,$A37+1),INDEX(ENG_S3_STRESS!$BY$2:$BY$42,$A37+1)))))</f>
        <v/>
      </c>
      <c r="O37" s="47">
        <f>IF(Tables!$B$13+$A37&gt;Tables!$B$18,"",IF('3. Year by Year'!$B$3="Smooth",IF('2. Results'!$C$35="Both claim at 62",INDEX(ENG_S1_BASE!$BZ$2:$BZ$42,$A37+1),IF('2. Results'!$C$35="Both claim at 67",INDEX(ENG_S2_BASE!$BZ$2:$BZ$42,$A37+1),INDEX(ENG_S3_BASE!$BZ$2:$BZ$42,$A37+1))),IF('2. Results'!$C$35="Both claim at 62",INDEX(ENG_S1_STRESS!$BZ$2:$BZ$42,$A37+1),IF('2. Results'!$C$35="Both claim at 67",INDEX(ENG_S2_STRESS!$BZ$2:$BZ$42,$A37+1),INDEX(ENG_S3_STRESS!$BZ$2:$BZ$42,$A37+1)))))</f>
        <v/>
      </c>
      <c r="P37" s="47">
        <f>IF(Tables!$B$13+$A37&gt;Tables!$B$18,"",IF('3. Year by Year'!$B$3="Smooth",IF('2. Results'!$C$35="Both claim at 62",INDEX(ENG_S1_BASE!$CA$2:$CA$42,$A37+1),IF('2. Results'!$C$35="Both claim at 67",INDEX(ENG_S2_BASE!$CA$2:$CA$42,$A37+1),INDEX(ENG_S3_BASE!$CA$2:$CA$42,$A37+1))),IF('2. Results'!$C$35="Both claim at 62",INDEX(ENG_S1_STRESS!$CA$2:$CA$42,$A37+1),IF('2. Results'!$C$35="Both claim at 67",INDEX(ENG_S2_STRESS!$CA$2:$CA$42,$A37+1),INDEX(ENG_S3_STRESS!$CA$2:$CA$42,$A37+1)))))</f>
        <v/>
      </c>
      <c r="Q37" s="47">
        <f>IF(Tables!$B$13+$A37&gt;Tables!$B$18,"",IF('3. Year by Year'!$B$3="Smooth",IF('2. Results'!$C$35="Both claim at 62",INDEX(ENG_S1_BASE!$CB$2:$CB$42,$A37+1),IF('2. Results'!$C$35="Both claim at 67",INDEX(ENG_S2_BASE!$CB$2:$CB$42,$A37+1),INDEX(ENG_S3_BASE!$CB$2:$CB$42,$A37+1))),IF('2. Results'!$C$35="Both claim at 62",INDEX(ENG_S1_STRESS!$CB$2:$CB$42,$A37+1),IF('2. Results'!$C$35="Both claim at 67",INDEX(ENG_S2_STRESS!$CB$2:$CB$42,$A37+1),INDEX(ENG_S3_STRESS!$CB$2:$CB$42,$A37+1)))))</f>
        <v/>
      </c>
      <c r="R37" s="47">
        <f>IF(Tables!$B$13+$A37&gt;Tables!$B$18,"",IF('3. Year by Year'!$B$3="Smooth",IF('2. Results'!$C$35="Both claim at 62",INDEX(ENG_S1_BASE!$CC$2:$CC$42,$A37+1),IF('2. Results'!$C$35="Both claim at 67",INDEX(ENG_S2_BASE!$CC$2:$CC$42,$A37+1),INDEX(ENG_S3_BASE!$CC$2:$CC$42,$A37+1))),IF('2. Results'!$C$35="Both claim at 62",INDEX(ENG_S1_STRESS!$CC$2:$CC$42,$A37+1),IF('2. Results'!$C$35="Both claim at 67",INDEX(ENG_S2_STRESS!$CC$2:$CC$42,$A37+1),INDEX(ENG_S3_STRESS!$CC$2:$CC$42,$A37+1)))))</f>
        <v/>
      </c>
    </row>
    <row r="38">
      <c r="A38" s="43" t="n">
        <v>32</v>
      </c>
      <c r="B38" s="51">
        <f>IF(Tables!$B$13+$A38&gt;Tables!$B$18,"",Tables!$B$14+$A38)</f>
        <v/>
      </c>
      <c r="C38" s="51">
        <f>IF(Tables!$B$13+$A38&gt;Tables!$B$18,"",Tables!$B$13+$A38)</f>
        <v/>
      </c>
      <c r="D38" s="55">
        <f>IF(Tables!$B$13+$A38&gt;Tables!$B$18,"",IF('3. Year by Year'!$B$3="Smooth",IF('2. Results'!$C$35="Both claim at 62",INDEX(ENG_S1_BASE!$D$2:$D$42,$A38+1),IF('2. Results'!$C$35="Both claim at 67",INDEX(ENG_S2_BASE!$D$2:$D$42,$A38+1),INDEX(ENG_S3_BASE!$D$2:$D$42,$A38+1))),IF('2. Results'!$C$35="Both claim at 62",INDEX(ENG_S1_STRESS!$D$2:$D$42,$A38+1),IF('2. Results'!$C$35="Both claim at 67",INDEX(ENG_S2_STRESS!$D$2:$D$42,$A38+1),INDEX(ENG_S3_STRESS!$D$2:$D$42,$A38+1)))))</f>
        <v/>
      </c>
      <c r="E38" s="50">
        <f>IF(Tables!$B$13+$A38&gt;Tables!$B$18,"",IF('3. Year by Year'!$B$3="Smooth",IF('2. Results'!$C$35="Both claim at 62",INDEX(ENG_S1_BASE!$G$2:$G$42,$A38+1),IF('2. Results'!$C$35="Both claim at 67",INDEX(ENG_S2_BASE!$G$2:$G$42,$A38+1),INDEX(ENG_S3_BASE!$G$2:$G$42,$A38+1))),IF('2. Results'!$C$35="Both claim at 62",INDEX(ENG_S1_STRESS!$G$2:$G$42,$A38+1),IF('2. Results'!$C$35="Both claim at 67",INDEX(ENG_S2_STRESS!$G$2:$G$42,$A38+1),INDEX(ENG_S3_STRESS!$G$2:$G$42,$A38+1)))))</f>
        <v/>
      </c>
      <c r="F38" s="50">
        <f>IF(Tables!$B$13+$A38&gt;Tables!$B$18,"",IF('3. Year by Year'!$B$3="Smooth",IF('2. Results'!$C$35="Both claim at 62",INDEX(ENG_S1_BASE!$H$2:$H$42,$A38+1),IF('2. Results'!$C$35="Both claim at 67",INDEX(ENG_S2_BASE!$H$2:$H$42,$A38+1),INDEX(ENG_S3_BASE!$H$2:$H$42,$A38+1))),IF('2. Results'!$C$35="Both claim at 62",INDEX(ENG_S1_STRESS!$H$2:$H$42,$A38+1),IF('2. Results'!$C$35="Both claim at 67",INDEX(ENG_S2_STRESS!$H$2:$H$42,$A38+1),INDEX(ENG_S3_STRESS!$H$2:$H$42,$A38+1)))))</f>
        <v/>
      </c>
      <c r="G38" s="50">
        <f>IF(Tables!$B$13+$A38&gt;Tables!$B$18,"",IF('3. Year by Year'!$B$3="Smooth",IF('2. Results'!$C$35="Both claim at 62",INDEX(ENG_S1_BASE!$L$2:$L$42,$A38+1),IF('2. Results'!$C$35="Both claim at 67",INDEX(ENG_S2_BASE!$L$2:$L$42,$A38+1),INDEX(ENG_S3_BASE!$L$2:$L$42,$A38+1))),IF('2. Results'!$C$35="Both claim at 62",INDEX(ENG_S1_STRESS!$L$2:$L$42,$A38+1),IF('2. Results'!$C$35="Both claim at 67",INDEX(ENG_S2_STRESS!$L$2:$L$42,$A38+1),INDEX(ENG_S3_STRESS!$L$2:$L$42,$A38+1)))))</f>
        <v/>
      </c>
      <c r="H38" s="50">
        <f>IF(Tables!$B$13+$A38&gt;Tables!$B$18,"",IF('3. Year by Year'!$B$3="Smooth",IF('2. Results'!$C$35="Both claim at 62",INDEX(ENG_S1_BASE!$BQ$2:$BQ$42,$A38+1),IF('2. Results'!$C$35="Both claim at 67",INDEX(ENG_S2_BASE!$BQ$2:$BQ$42,$A38+1),INDEX(ENG_S3_BASE!$BQ$2:$BQ$42,$A38+1))),IF('2. Results'!$C$35="Both claim at 62",INDEX(ENG_S1_STRESS!$BQ$2:$BQ$42,$A38+1),IF('2. Results'!$C$35="Both claim at 67",INDEX(ENG_S2_STRESS!$BQ$2:$BQ$42,$A38+1),INDEX(ENG_S3_STRESS!$BQ$2:$BQ$42,$A38+1)))))</f>
        <v/>
      </c>
      <c r="I38" s="50">
        <f>IF(Tables!$B$13+$A38&gt;Tables!$B$18,"",IF('3. Year by Year'!$B$3="Smooth",IF('2. Results'!$C$35="Both claim at 62",INDEX(ENG_S1_BASE!$Q$2:$Q$42,$A38+1),IF('2. Results'!$C$35="Both claim at 67",INDEX(ENG_S2_BASE!$Q$2:$Q$42,$A38+1),INDEX(ENG_S3_BASE!$Q$2:$Q$42,$A38+1))),IF('2. Results'!$C$35="Both claim at 62",INDEX(ENG_S1_STRESS!$Q$2:$Q$42,$A38+1),IF('2. Results'!$C$35="Both claim at 67",INDEX(ENG_S2_STRESS!$Q$2:$Q$42,$A38+1),INDEX(ENG_S3_STRESS!$Q$2:$Q$42,$A38+1)))))</f>
        <v/>
      </c>
      <c r="J38" s="50">
        <f>IF(Tables!$B$13+$A38&gt;Tables!$B$18,"",IF('3. Year by Year'!$B$3="Smooth",IF('2. Results'!$C$35="Both claim at 62",INDEX(ENG_S1_BASE!$BV$2:$BV$42,$A38+1),IF('2. Results'!$C$35="Both claim at 67",INDEX(ENG_S2_BASE!$BV$2:$BV$42,$A38+1),INDEX(ENG_S3_BASE!$BV$2:$BV$42,$A38+1))),IF('2. Results'!$C$35="Both claim at 62",INDEX(ENG_S1_STRESS!$BV$2:$BV$42,$A38+1),IF('2. Results'!$C$35="Both claim at 67",INDEX(ENG_S2_STRESS!$BV$2:$BV$42,$A38+1),INDEX(ENG_S3_STRESS!$BV$2:$BV$42,$A38+1)))))</f>
        <v/>
      </c>
      <c r="K38" s="50">
        <f>IF(Tables!$B$13+$A38&gt;Tables!$B$18,"",IF('3. Year by Year'!$B$3="Smooth",IF('2. Results'!$C$35="Both claim at 62",INDEX(ENG_S1_BASE!$BR$2:$BR$42,$A38+1),IF('2. Results'!$C$35="Both claim at 67",INDEX(ENG_S2_BASE!$BR$2:$BR$42,$A38+1),INDEX(ENG_S3_BASE!$BR$2:$BR$42,$A38+1))),IF('2. Results'!$C$35="Both claim at 62",INDEX(ENG_S1_STRESS!$BR$2:$BR$42,$A38+1),IF('2. Results'!$C$35="Both claim at 67",INDEX(ENG_S2_STRESS!$BR$2:$BR$42,$A38+1),INDEX(ENG_S3_STRESS!$BR$2:$BR$42,$A38+1)))))</f>
        <v/>
      </c>
      <c r="L38" s="50">
        <f>IF(Tables!$B$13+$A38&gt;Tables!$B$18,"",IF('3. Year by Year'!$B$3="Smooth",IF('2. Results'!$C$35="Both claim at 62",INDEX(ENG_S1_BASE!$BT$2:$BT$42,$A38+1),IF('2. Results'!$C$35="Both claim at 67",INDEX(ENG_S2_BASE!$BT$2:$BT$42,$A38+1),INDEX(ENG_S3_BASE!$BT$2:$BT$42,$A38+1))),IF('2. Results'!$C$35="Both claim at 62",INDEX(ENG_S1_STRESS!$BT$2:$BT$42,$A38+1),IF('2. Results'!$C$35="Both claim at 67",INDEX(ENG_S2_STRESS!$BT$2:$BT$42,$A38+1),INDEX(ENG_S3_STRESS!$BT$2:$BT$42,$A38+1)))))</f>
        <v/>
      </c>
      <c r="M38" s="50">
        <f>IF(Tables!$B$13+$A38&gt;Tables!$B$18,"",IF('3. Year by Year'!$B$3="Smooth",IF('2. Results'!$C$35="Both claim at 62",INDEX(ENG_S1_BASE!$BX$2:$BX$42,$A38+1),IF('2. Results'!$C$35="Both claim at 67",INDEX(ENG_S2_BASE!$BX$2:$BX$42,$A38+1),INDEX(ENG_S3_BASE!$BX$2:$BX$42,$A38+1))),IF('2. Results'!$C$35="Both claim at 62",INDEX(ENG_S1_STRESS!$BX$2:$BX$42,$A38+1),IF('2. Results'!$C$35="Both claim at 67",INDEX(ENG_S2_STRESS!$BX$2:$BX$42,$A38+1),INDEX(ENG_S3_STRESS!$BX$2:$BX$42,$A38+1)))))</f>
        <v/>
      </c>
      <c r="N38" s="50">
        <f>IF(Tables!$B$13+$A38&gt;Tables!$B$18,"",IF('3. Year by Year'!$B$3="Smooth",IF('2. Results'!$C$35="Both claim at 62",INDEX(ENG_S1_BASE!$BY$2:$BY$42,$A38+1),IF('2. Results'!$C$35="Both claim at 67",INDEX(ENG_S2_BASE!$BY$2:$BY$42,$A38+1),INDEX(ENG_S3_BASE!$BY$2:$BY$42,$A38+1))),IF('2. Results'!$C$35="Both claim at 62",INDEX(ENG_S1_STRESS!$BY$2:$BY$42,$A38+1),IF('2. Results'!$C$35="Both claim at 67",INDEX(ENG_S2_STRESS!$BY$2:$BY$42,$A38+1),INDEX(ENG_S3_STRESS!$BY$2:$BY$42,$A38+1)))))</f>
        <v/>
      </c>
      <c r="O38" s="50">
        <f>IF(Tables!$B$13+$A38&gt;Tables!$B$18,"",IF('3. Year by Year'!$B$3="Smooth",IF('2. Results'!$C$35="Both claim at 62",INDEX(ENG_S1_BASE!$BZ$2:$BZ$42,$A38+1),IF('2. Results'!$C$35="Both claim at 67",INDEX(ENG_S2_BASE!$BZ$2:$BZ$42,$A38+1),INDEX(ENG_S3_BASE!$BZ$2:$BZ$42,$A38+1))),IF('2. Results'!$C$35="Both claim at 62",INDEX(ENG_S1_STRESS!$BZ$2:$BZ$42,$A38+1),IF('2. Results'!$C$35="Both claim at 67",INDEX(ENG_S2_STRESS!$BZ$2:$BZ$42,$A38+1),INDEX(ENG_S3_STRESS!$BZ$2:$BZ$42,$A38+1)))))</f>
        <v/>
      </c>
      <c r="P38" s="50">
        <f>IF(Tables!$B$13+$A38&gt;Tables!$B$18,"",IF('3. Year by Year'!$B$3="Smooth",IF('2. Results'!$C$35="Both claim at 62",INDEX(ENG_S1_BASE!$CA$2:$CA$42,$A38+1),IF('2. Results'!$C$35="Both claim at 67",INDEX(ENG_S2_BASE!$CA$2:$CA$42,$A38+1),INDEX(ENG_S3_BASE!$CA$2:$CA$42,$A38+1))),IF('2. Results'!$C$35="Both claim at 62",INDEX(ENG_S1_STRESS!$CA$2:$CA$42,$A38+1),IF('2. Results'!$C$35="Both claim at 67",INDEX(ENG_S2_STRESS!$CA$2:$CA$42,$A38+1),INDEX(ENG_S3_STRESS!$CA$2:$CA$42,$A38+1)))))</f>
        <v/>
      </c>
      <c r="Q38" s="50">
        <f>IF(Tables!$B$13+$A38&gt;Tables!$B$18,"",IF('3. Year by Year'!$B$3="Smooth",IF('2. Results'!$C$35="Both claim at 62",INDEX(ENG_S1_BASE!$CB$2:$CB$42,$A38+1),IF('2. Results'!$C$35="Both claim at 67",INDEX(ENG_S2_BASE!$CB$2:$CB$42,$A38+1),INDEX(ENG_S3_BASE!$CB$2:$CB$42,$A38+1))),IF('2. Results'!$C$35="Both claim at 62",INDEX(ENG_S1_STRESS!$CB$2:$CB$42,$A38+1),IF('2. Results'!$C$35="Both claim at 67",INDEX(ENG_S2_STRESS!$CB$2:$CB$42,$A38+1),INDEX(ENG_S3_STRESS!$CB$2:$CB$42,$A38+1)))))</f>
        <v/>
      </c>
      <c r="R38" s="50">
        <f>IF(Tables!$B$13+$A38&gt;Tables!$B$18,"",IF('3. Year by Year'!$B$3="Smooth",IF('2. Results'!$C$35="Both claim at 62",INDEX(ENG_S1_BASE!$CC$2:$CC$42,$A38+1),IF('2. Results'!$C$35="Both claim at 67",INDEX(ENG_S2_BASE!$CC$2:$CC$42,$A38+1),INDEX(ENG_S3_BASE!$CC$2:$CC$42,$A38+1))),IF('2. Results'!$C$35="Both claim at 62",INDEX(ENG_S1_STRESS!$CC$2:$CC$42,$A38+1),IF('2. Results'!$C$35="Both claim at 67",INDEX(ENG_S2_STRESS!$CC$2:$CC$42,$A38+1),INDEX(ENG_S3_STRESS!$CC$2:$CC$42,$A38+1)))))</f>
        <v/>
      </c>
    </row>
    <row r="39">
      <c r="A39" s="43" t="n">
        <v>33</v>
      </c>
      <c r="B39" s="48">
        <f>IF(Tables!$B$13+$A39&gt;Tables!$B$18,"",Tables!$B$14+$A39)</f>
        <v/>
      </c>
      <c r="C39" s="48">
        <f>IF(Tables!$B$13+$A39&gt;Tables!$B$18,"",Tables!$B$13+$A39)</f>
        <v/>
      </c>
      <c r="D39" s="56">
        <f>IF(Tables!$B$13+$A39&gt;Tables!$B$18,"",IF('3. Year by Year'!$B$3="Smooth",IF('2. Results'!$C$35="Both claim at 62",INDEX(ENG_S1_BASE!$D$2:$D$42,$A39+1),IF('2. Results'!$C$35="Both claim at 67",INDEX(ENG_S2_BASE!$D$2:$D$42,$A39+1),INDEX(ENG_S3_BASE!$D$2:$D$42,$A39+1))),IF('2. Results'!$C$35="Both claim at 62",INDEX(ENG_S1_STRESS!$D$2:$D$42,$A39+1),IF('2. Results'!$C$35="Both claim at 67",INDEX(ENG_S2_STRESS!$D$2:$D$42,$A39+1),INDEX(ENG_S3_STRESS!$D$2:$D$42,$A39+1)))))</f>
        <v/>
      </c>
      <c r="E39" s="47">
        <f>IF(Tables!$B$13+$A39&gt;Tables!$B$18,"",IF('3. Year by Year'!$B$3="Smooth",IF('2. Results'!$C$35="Both claim at 62",INDEX(ENG_S1_BASE!$G$2:$G$42,$A39+1),IF('2. Results'!$C$35="Both claim at 67",INDEX(ENG_S2_BASE!$G$2:$G$42,$A39+1),INDEX(ENG_S3_BASE!$G$2:$G$42,$A39+1))),IF('2. Results'!$C$35="Both claim at 62",INDEX(ENG_S1_STRESS!$G$2:$G$42,$A39+1),IF('2. Results'!$C$35="Both claim at 67",INDEX(ENG_S2_STRESS!$G$2:$G$42,$A39+1),INDEX(ENG_S3_STRESS!$G$2:$G$42,$A39+1)))))</f>
        <v/>
      </c>
      <c r="F39" s="47">
        <f>IF(Tables!$B$13+$A39&gt;Tables!$B$18,"",IF('3. Year by Year'!$B$3="Smooth",IF('2. Results'!$C$35="Both claim at 62",INDEX(ENG_S1_BASE!$H$2:$H$42,$A39+1),IF('2. Results'!$C$35="Both claim at 67",INDEX(ENG_S2_BASE!$H$2:$H$42,$A39+1),INDEX(ENG_S3_BASE!$H$2:$H$42,$A39+1))),IF('2. Results'!$C$35="Both claim at 62",INDEX(ENG_S1_STRESS!$H$2:$H$42,$A39+1),IF('2. Results'!$C$35="Both claim at 67",INDEX(ENG_S2_STRESS!$H$2:$H$42,$A39+1),INDEX(ENG_S3_STRESS!$H$2:$H$42,$A39+1)))))</f>
        <v/>
      </c>
      <c r="G39" s="47">
        <f>IF(Tables!$B$13+$A39&gt;Tables!$B$18,"",IF('3. Year by Year'!$B$3="Smooth",IF('2. Results'!$C$35="Both claim at 62",INDEX(ENG_S1_BASE!$L$2:$L$42,$A39+1),IF('2. Results'!$C$35="Both claim at 67",INDEX(ENG_S2_BASE!$L$2:$L$42,$A39+1),INDEX(ENG_S3_BASE!$L$2:$L$42,$A39+1))),IF('2. Results'!$C$35="Both claim at 62",INDEX(ENG_S1_STRESS!$L$2:$L$42,$A39+1),IF('2. Results'!$C$35="Both claim at 67",INDEX(ENG_S2_STRESS!$L$2:$L$42,$A39+1),INDEX(ENG_S3_STRESS!$L$2:$L$42,$A39+1)))))</f>
        <v/>
      </c>
      <c r="H39" s="47">
        <f>IF(Tables!$B$13+$A39&gt;Tables!$B$18,"",IF('3. Year by Year'!$B$3="Smooth",IF('2. Results'!$C$35="Both claim at 62",INDEX(ENG_S1_BASE!$BQ$2:$BQ$42,$A39+1),IF('2. Results'!$C$35="Both claim at 67",INDEX(ENG_S2_BASE!$BQ$2:$BQ$42,$A39+1),INDEX(ENG_S3_BASE!$BQ$2:$BQ$42,$A39+1))),IF('2. Results'!$C$35="Both claim at 62",INDEX(ENG_S1_STRESS!$BQ$2:$BQ$42,$A39+1),IF('2. Results'!$C$35="Both claim at 67",INDEX(ENG_S2_STRESS!$BQ$2:$BQ$42,$A39+1),INDEX(ENG_S3_STRESS!$BQ$2:$BQ$42,$A39+1)))))</f>
        <v/>
      </c>
      <c r="I39" s="47">
        <f>IF(Tables!$B$13+$A39&gt;Tables!$B$18,"",IF('3. Year by Year'!$B$3="Smooth",IF('2. Results'!$C$35="Both claim at 62",INDEX(ENG_S1_BASE!$Q$2:$Q$42,$A39+1),IF('2. Results'!$C$35="Both claim at 67",INDEX(ENG_S2_BASE!$Q$2:$Q$42,$A39+1),INDEX(ENG_S3_BASE!$Q$2:$Q$42,$A39+1))),IF('2. Results'!$C$35="Both claim at 62",INDEX(ENG_S1_STRESS!$Q$2:$Q$42,$A39+1),IF('2. Results'!$C$35="Both claim at 67",INDEX(ENG_S2_STRESS!$Q$2:$Q$42,$A39+1),INDEX(ENG_S3_STRESS!$Q$2:$Q$42,$A39+1)))))</f>
        <v/>
      </c>
      <c r="J39" s="47">
        <f>IF(Tables!$B$13+$A39&gt;Tables!$B$18,"",IF('3. Year by Year'!$B$3="Smooth",IF('2. Results'!$C$35="Both claim at 62",INDEX(ENG_S1_BASE!$BV$2:$BV$42,$A39+1),IF('2. Results'!$C$35="Both claim at 67",INDEX(ENG_S2_BASE!$BV$2:$BV$42,$A39+1),INDEX(ENG_S3_BASE!$BV$2:$BV$42,$A39+1))),IF('2. Results'!$C$35="Both claim at 62",INDEX(ENG_S1_STRESS!$BV$2:$BV$42,$A39+1),IF('2. Results'!$C$35="Both claim at 67",INDEX(ENG_S2_STRESS!$BV$2:$BV$42,$A39+1),INDEX(ENG_S3_STRESS!$BV$2:$BV$42,$A39+1)))))</f>
        <v/>
      </c>
      <c r="K39" s="47">
        <f>IF(Tables!$B$13+$A39&gt;Tables!$B$18,"",IF('3. Year by Year'!$B$3="Smooth",IF('2. Results'!$C$35="Both claim at 62",INDEX(ENG_S1_BASE!$BR$2:$BR$42,$A39+1),IF('2. Results'!$C$35="Both claim at 67",INDEX(ENG_S2_BASE!$BR$2:$BR$42,$A39+1),INDEX(ENG_S3_BASE!$BR$2:$BR$42,$A39+1))),IF('2. Results'!$C$35="Both claim at 62",INDEX(ENG_S1_STRESS!$BR$2:$BR$42,$A39+1),IF('2. Results'!$C$35="Both claim at 67",INDEX(ENG_S2_STRESS!$BR$2:$BR$42,$A39+1),INDEX(ENG_S3_STRESS!$BR$2:$BR$42,$A39+1)))))</f>
        <v/>
      </c>
      <c r="L39" s="47">
        <f>IF(Tables!$B$13+$A39&gt;Tables!$B$18,"",IF('3. Year by Year'!$B$3="Smooth",IF('2. Results'!$C$35="Both claim at 62",INDEX(ENG_S1_BASE!$BT$2:$BT$42,$A39+1),IF('2. Results'!$C$35="Both claim at 67",INDEX(ENG_S2_BASE!$BT$2:$BT$42,$A39+1),INDEX(ENG_S3_BASE!$BT$2:$BT$42,$A39+1))),IF('2. Results'!$C$35="Both claim at 62",INDEX(ENG_S1_STRESS!$BT$2:$BT$42,$A39+1),IF('2. Results'!$C$35="Both claim at 67",INDEX(ENG_S2_STRESS!$BT$2:$BT$42,$A39+1),INDEX(ENG_S3_STRESS!$BT$2:$BT$42,$A39+1)))))</f>
        <v/>
      </c>
      <c r="M39" s="47">
        <f>IF(Tables!$B$13+$A39&gt;Tables!$B$18,"",IF('3. Year by Year'!$B$3="Smooth",IF('2. Results'!$C$35="Both claim at 62",INDEX(ENG_S1_BASE!$BX$2:$BX$42,$A39+1),IF('2. Results'!$C$35="Both claim at 67",INDEX(ENG_S2_BASE!$BX$2:$BX$42,$A39+1),INDEX(ENG_S3_BASE!$BX$2:$BX$42,$A39+1))),IF('2. Results'!$C$35="Both claim at 62",INDEX(ENG_S1_STRESS!$BX$2:$BX$42,$A39+1),IF('2. Results'!$C$35="Both claim at 67",INDEX(ENG_S2_STRESS!$BX$2:$BX$42,$A39+1),INDEX(ENG_S3_STRESS!$BX$2:$BX$42,$A39+1)))))</f>
        <v/>
      </c>
      <c r="N39" s="47">
        <f>IF(Tables!$B$13+$A39&gt;Tables!$B$18,"",IF('3. Year by Year'!$B$3="Smooth",IF('2. Results'!$C$35="Both claim at 62",INDEX(ENG_S1_BASE!$BY$2:$BY$42,$A39+1),IF('2. Results'!$C$35="Both claim at 67",INDEX(ENG_S2_BASE!$BY$2:$BY$42,$A39+1),INDEX(ENG_S3_BASE!$BY$2:$BY$42,$A39+1))),IF('2. Results'!$C$35="Both claim at 62",INDEX(ENG_S1_STRESS!$BY$2:$BY$42,$A39+1),IF('2. Results'!$C$35="Both claim at 67",INDEX(ENG_S2_STRESS!$BY$2:$BY$42,$A39+1),INDEX(ENG_S3_STRESS!$BY$2:$BY$42,$A39+1)))))</f>
        <v/>
      </c>
      <c r="O39" s="47">
        <f>IF(Tables!$B$13+$A39&gt;Tables!$B$18,"",IF('3. Year by Year'!$B$3="Smooth",IF('2. Results'!$C$35="Both claim at 62",INDEX(ENG_S1_BASE!$BZ$2:$BZ$42,$A39+1),IF('2. Results'!$C$35="Both claim at 67",INDEX(ENG_S2_BASE!$BZ$2:$BZ$42,$A39+1),INDEX(ENG_S3_BASE!$BZ$2:$BZ$42,$A39+1))),IF('2. Results'!$C$35="Both claim at 62",INDEX(ENG_S1_STRESS!$BZ$2:$BZ$42,$A39+1),IF('2. Results'!$C$35="Both claim at 67",INDEX(ENG_S2_STRESS!$BZ$2:$BZ$42,$A39+1),INDEX(ENG_S3_STRESS!$BZ$2:$BZ$42,$A39+1)))))</f>
        <v/>
      </c>
      <c r="P39" s="47">
        <f>IF(Tables!$B$13+$A39&gt;Tables!$B$18,"",IF('3. Year by Year'!$B$3="Smooth",IF('2. Results'!$C$35="Both claim at 62",INDEX(ENG_S1_BASE!$CA$2:$CA$42,$A39+1),IF('2. Results'!$C$35="Both claim at 67",INDEX(ENG_S2_BASE!$CA$2:$CA$42,$A39+1),INDEX(ENG_S3_BASE!$CA$2:$CA$42,$A39+1))),IF('2. Results'!$C$35="Both claim at 62",INDEX(ENG_S1_STRESS!$CA$2:$CA$42,$A39+1),IF('2. Results'!$C$35="Both claim at 67",INDEX(ENG_S2_STRESS!$CA$2:$CA$42,$A39+1),INDEX(ENG_S3_STRESS!$CA$2:$CA$42,$A39+1)))))</f>
        <v/>
      </c>
      <c r="Q39" s="47">
        <f>IF(Tables!$B$13+$A39&gt;Tables!$B$18,"",IF('3. Year by Year'!$B$3="Smooth",IF('2. Results'!$C$35="Both claim at 62",INDEX(ENG_S1_BASE!$CB$2:$CB$42,$A39+1),IF('2. Results'!$C$35="Both claim at 67",INDEX(ENG_S2_BASE!$CB$2:$CB$42,$A39+1),INDEX(ENG_S3_BASE!$CB$2:$CB$42,$A39+1))),IF('2. Results'!$C$35="Both claim at 62",INDEX(ENG_S1_STRESS!$CB$2:$CB$42,$A39+1),IF('2. Results'!$C$35="Both claim at 67",INDEX(ENG_S2_STRESS!$CB$2:$CB$42,$A39+1),INDEX(ENG_S3_STRESS!$CB$2:$CB$42,$A39+1)))))</f>
        <v/>
      </c>
      <c r="R39" s="47">
        <f>IF(Tables!$B$13+$A39&gt;Tables!$B$18,"",IF('3. Year by Year'!$B$3="Smooth",IF('2. Results'!$C$35="Both claim at 62",INDEX(ENG_S1_BASE!$CC$2:$CC$42,$A39+1),IF('2. Results'!$C$35="Both claim at 67",INDEX(ENG_S2_BASE!$CC$2:$CC$42,$A39+1),INDEX(ENG_S3_BASE!$CC$2:$CC$42,$A39+1))),IF('2. Results'!$C$35="Both claim at 62",INDEX(ENG_S1_STRESS!$CC$2:$CC$42,$A39+1),IF('2. Results'!$C$35="Both claim at 67",INDEX(ENG_S2_STRESS!$CC$2:$CC$42,$A39+1),INDEX(ENG_S3_STRESS!$CC$2:$CC$42,$A39+1)))))</f>
        <v/>
      </c>
    </row>
    <row r="40">
      <c r="A40" s="43" t="n">
        <v>34</v>
      </c>
      <c r="B40" s="51">
        <f>IF(Tables!$B$13+$A40&gt;Tables!$B$18,"",Tables!$B$14+$A40)</f>
        <v/>
      </c>
      <c r="C40" s="51">
        <f>IF(Tables!$B$13+$A40&gt;Tables!$B$18,"",Tables!$B$13+$A40)</f>
        <v/>
      </c>
      <c r="D40" s="55">
        <f>IF(Tables!$B$13+$A40&gt;Tables!$B$18,"",IF('3. Year by Year'!$B$3="Smooth",IF('2. Results'!$C$35="Both claim at 62",INDEX(ENG_S1_BASE!$D$2:$D$42,$A40+1),IF('2. Results'!$C$35="Both claim at 67",INDEX(ENG_S2_BASE!$D$2:$D$42,$A40+1),INDEX(ENG_S3_BASE!$D$2:$D$42,$A40+1))),IF('2. Results'!$C$35="Both claim at 62",INDEX(ENG_S1_STRESS!$D$2:$D$42,$A40+1),IF('2. Results'!$C$35="Both claim at 67",INDEX(ENG_S2_STRESS!$D$2:$D$42,$A40+1),INDEX(ENG_S3_STRESS!$D$2:$D$42,$A40+1)))))</f>
        <v/>
      </c>
      <c r="E40" s="50">
        <f>IF(Tables!$B$13+$A40&gt;Tables!$B$18,"",IF('3. Year by Year'!$B$3="Smooth",IF('2. Results'!$C$35="Both claim at 62",INDEX(ENG_S1_BASE!$G$2:$G$42,$A40+1),IF('2. Results'!$C$35="Both claim at 67",INDEX(ENG_S2_BASE!$G$2:$G$42,$A40+1),INDEX(ENG_S3_BASE!$G$2:$G$42,$A40+1))),IF('2. Results'!$C$35="Both claim at 62",INDEX(ENG_S1_STRESS!$G$2:$G$42,$A40+1),IF('2. Results'!$C$35="Both claim at 67",INDEX(ENG_S2_STRESS!$G$2:$G$42,$A40+1),INDEX(ENG_S3_STRESS!$G$2:$G$42,$A40+1)))))</f>
        <v/>
      </c>
      <c r="F40" s="50">
        <f>IF(Tables!$B$13+$A40&gt;Tables!$B$18,"",IF('3. Year by Year'!$B$3="Smooth",IF('2. Results'!$C$35="Both claim at 62",INDEX(ENG_S1_BASE!$H$2:$H$42,$A40+1),IF('2. Results'!$C$35="Both claim at 67",INDEX(ENG_S2_BASE!$H$2:$H$42,$A40+1),INDEX(ENG_S3_BASE!$H$2:$H$42,$A40+1))),IF('2. Results'!$C$35="Both claim at 62",INDEX(ENG_S1_STRESS!$H$2:$H$42,$A40+1),IF('2. Results'!$C$35="Both claim at 67",INDEX(ENG_S2_STRESS!$H$2:$H$42,$A40+1),INDEX(ENG_S3_STRESS!$H$2:$H$42,$A40+1)))))</f>
        <v/>
      </c>
      <c r="G40" s="50">
        <f>IF(Tables!$B$13+$A40&gt;Tables!$B$18,"",IF('3. Year by Year'!$B$3="Smooth",IF('2. Results'!$C$35="Both claim at 62",INDEX(ENG_S1_BASE!$L$2:$L$42,$A40+1),IF('2. Results'!$C$35="Both claim at 67",INDEX(ENG_S2_BASE!$L$2:$L$42,$A40+1),INDEX(ENG_S3_BASE!$L$2:$L$42,$A40+1))),IF('2. Results'!$C$35="Both claim at 62",INDEX(ENG_S1_STRESS!$L$2:$L$42,$A40+1),IF('2. Results'!$C$35="Both claim at 67",INDEX(ENG_S2_STRESS!$L$2:$L$42,$A40+1),INDEX(ENG_S3_STRESS!$L$2:$L$42,$A40+1)))))</f>
        <v/>
      </c>
      <c r="H40" s="50">
        <f>IF(Tables!$B$13+$A40&gt;Tables!$B$18,"",IF('3. Year by Year'!$B$3="Smooth",IF('2. Results'!$C$35="Both claim at 62",INDEX(ENG_S1_BASE!$BQ$2:$BQ$42,$A40+1),IF('2. Results'!$C$35="Both claim at 67",INDEX(ENG_S2_BASE!$BQ$2:$BQ$42,$A40+1),INDEX(ENG_S3_BASE!$BQ$2:$BQ$42,$A40+1))),IF('2. Results'!$C$35="Both claim at 62",INDEX(ENG_S1_STRESS!$BQ$2:$BQ$42,$A40+1),IF('2. Results'!$C$35="Both claim at 67",INDEX(ENG_S2_STRESS!$BQ$2:$BQ$42,$A40+1),INDEX(ENG_S3_STRESS!$BQ$2:$BQ$42,$A40+1)))))</f>
        <v/>
      </c>
      <c r="I40" s="50">
        <f>IF(Tables!$B$13+$A40&gt;Tables!$B$18,"",IF('3. Year by Year'!$B$3="Smooth",IF('2. Results'!$C$35="Both claim at 62",INDEX(ENG_S1_BASE!$Q$2:$Q$42,$A40+1),IF('2. Results'!$C$35="Both claim at 67",INDEX(ENG_S2_BASE!$Q$2:$Q$42,$A40+1),INDEX(ENG_S3_BASE!$Q$2:$Q$42,$A40+1))),IF('2. Results'!$C$35="Both claim at 62",INDEX(ENG_S1_STRESS!$Q$2:$Q$42,$A40+1),IF('2. Results'!$C$35="Both claim at 67",INDEX(ENG_S2_STRESS!$Q$2:$Q$42,$A40+1),INDEX(ENG_S3_STRESS!$Q$2:$Q$42,$A40+1)))))</f>
        <v/>
      </c>
      <c r="J40" s="50">
        <f>IF(Tables!$B$13+$A40&gt;Tables!$B$18,"",IF('3. Year by Year'!$B$3="Smooth",IF('2. Results'!$C$35="Both claim at 62",INDEX(ENG_S1_BASE!$BV$2:$BV$42,$A40+1),IF('2. Results'!$C$35="Both claim at 67",INDEX(ENG_S2_BASE!$BV$2:$BV$42,$A40+1),INDEX(ENG_S3_BASE!$BV$2:$BV$42,$A40+1))),IF('2. Results'!$C$35="Both claim at 62",INDEX(ENG_S1_STRESS!$BV$2:$BV$42,$A40+1),IF('2. Results'!$C$35="Both claim at 67",INDEX(ENG_S2_STRESS!$BV$2:$BV$42,$A40+1),INDEX(ENG_S3_STRESS!$BV$2:$BV$42,$A40+1)))))</f>
        <v/>
      </c>
      <c r="K40" s="50">
        <f>IF(Tables!$B$13+$A40&gt;Tables!$B$18,"",IF('3. Year by Year'!$B$3="Smooth",IF('2. Results'!$C$35="Both claim at 62",INDEX(ENG_S1_BASE!$BR$2:$BR$42,$A40+1),IF('2. Results'!$C$35="Both claim at 67",INDEX(ENG_S2_BASE!$BR$2:$BR$42,$A40+1),INDEX(ENG_S3_BASE!$BR$2:$BR$42,$A40+1))),IF('2. Results'!$C$35="Both claim at 62",INDEX(ENG_S1_STRESS!$BR$2:$BR$42,$A40+1),IF('2. Results'!$C$35="Both claim at 67",INDEX(ENG_S2_STRESS!$BR$2:$BR$42,$A40+1),INDEX(ENG_S3_STRESS!$BR$2:$BR$42,$A40+1)))))</f>
        <v/>
      </c>
      <c r="L40" s="50">
        <f>IF(Tables!$B$13+$A40&gt;Tables!$B$18,"",IF('3. Year by Year'!$B$3="Smooth",IF('2. Results'!$C$35="Both claim at 62",INDEX(ENG_S1_BASE!$BT$2:$BT$42,$A40+1),IF('2. Results'!$C$35="Both claim at 67",INDEX(ENG_S2_BASE!$BT$2:$BT$42,$A40+1),INDEX(ENG_S3_BASE!$BT$2:$BT$42,$A40+1))),IF('2. Results'!$C$35="Both claim at 62",INDEX(ENG_S1_STRESS!$BT$2:$BT$42,$A40+1),IF('2. Results'!$C$35="Both claim at 67",INDEX(ENG_S2_STRESS!$BT$2:$BT$42,$A40+1),INDEX(ENG_S3_STRESS!$BT$2:$BT$42,$A40+1)))))</f>
        <v/>
      </c>
      <c r="M40" s="50">
        <f>IF(Tables!$B$13+$A40&gt;Tables!$B$18,"",IF('3. Year by Year'!$B$3="Smooth",IF('2. Results'!$C$35="Both claim at 62",INDEX(ENG_S1_BASE!$BX$2:$BX$42,$A40+1),IF('2. Results'!$C$35="Both claim at 67",INDEX(ENG_S2_BASE!$BX$2:$BX$42,$A40+1),INDEX(ENG_S3_BASE!$BX$2:$BX$42,$A40+1))),IF('2. Results'!$C$35="Both claim at 62",INDEX(ENG_S1_STRESS!$BX$2:$BX$42,$A40+1),IF('2. Results'!$C$35="Both claim at 67",INDEX(ENG_S2_STRESS!$BX$2:$BX$42,$A40+1),INDEX(ENG_S3_STRESS!$BX$2:$BX$42,$A40+1)))))</f>
        <v/>
      </c>
      <c r="N40" s="50">
        <f>IF(Tables!$B$13+$A40&gt;Tables!$B$18,"",IF('3. Year by Year'!$B$3="Smooth",IF('2. Results'!$C$35="Both claim at 62",INDEX(ENG_S1_BASE!$BY$2:$BY$42,$A40+1),IF('2. Results'!$C$35="Both claim at 67",INDEX(ENG_S2_BASE!$BY$2:$BY$42,$A40+1),INDEX(ENG_S3_BASE!$BY$2:$BY$42,$A40+1))),IF('2. Results'!$C$35="Both claim at 62",INDEX(ENG_S1_STRESS!$BY$2:$BY$42,$A40+1),IF('2. Results'!$C$35="Both claim at 67",INDEX(ENG_S2_STRESS!$BY$2:$BY$42,$A40+1),INDEX(ENG_S3_STRESS!$BY$2:$BY$42,$A40+1)))))</f>
        <v/>
      </c>
      <c r="O40" s="50">
        <f>IF(Tables!$B$13+$A40&gt;Tables!$B$18,"",IF('3. Year by Year'!$B$3="Smooth",IF('2. Results'!$C$35="Both claim at 62",INDEX(ENG_S1_BASE!$BZ$2:$BZ$42,$A40+1),IF('2. Results'!$C$35="Both claim at 67",INDEX(ENG_S2_BASE!$BZ$2:$BZ$42,$A40+1),INDEX(ENG_S3_BASE!$BZ$2:$BZ$42,$A40+1))),IF('2. Results'!$C$35="Both claim at 62",INDEX(ENG_S1_STRESS!$BZ$2:$BZ$42,$A40+1),IF('2. Results'!$C$35="Both claim at 67",INDEX(ENG_S2_STRESS!$BZ$2:$BZ$42,$A40+1),INDEX(ENG_S3_STRESS!$BZ$2:$BZ$42,$A40+1)))))</f>
        <v/>
      </c>
      <c r="P40" s="50">
        <f>IF(Tables!$B$13+$A40&gt;Tables!$B$18,"",IF('3. Year by Year'!$B$3="Smooth",IF('2. Results'!$C$35="Both claim at 62",INDEX(ENG_S1_BASE!$CA$2:$CA$42,$A40+1),IF('2. Results'!$C$35="Both claim at 67",INDEX(ENG_S2_BASE!$CA$2:$CA$42,$A40+1),INDEX(ENG_S3_BASE!$CA$2:$CA$42,$A40+1))),IF('2. Results'!$C$35="Both claim at 62",INDEX(ENG_S1_STRESS!$CA$2:$CA$42,$A40+1),IF('2. Results'!$C$35="Both claim at 67",INDEX(ENG_S2_STRESS!$CA$2:$CA$42,$A40+1),INDEX(ENG_S3_STRESS!$CA$2:$CA$42,$A40+1)))))</f>
        <v/>
      </c>
      <c r="Q40" s="50">
        <f>IF(Tables!$B$13+$A40&gt;Tables!$B$18,"",IF('3. Year by Year'!$B$3="Smooth",IF('2. Results'!$C$35="Both claim at 62",INDEX(ENG_S1_BASE!$CB$2:$CB$42,$A40+1),IF('2. Results'!$C$35="Both claim at 67",INDEX(ENG_S2_BASE!$CB$2:$CB$42,$A40+1),INDEX(ENG_S3_BASE!$CB$2:$CB$42,$A40+1))),IF('2. Results'!$C$35="Both claim at 62",INDEX(ENG_S1_STRESS!$CB$2:$CB$42,$A40+1),IF('2. Results'!$C$35="Both claim at 67",INDEX(ENG_S2_STRESS!$CB$2:$CB$42,$A40+1),INDEX(ENG_S3_STRESS!$CB$2:$CB$42,$A40+1)))))</f>
        <v/>
      </c>
      <c r="R40" s="50">
        <f>IF(Tables!$B$13+$A40&gt;Tables!$B$18,"",IF('3. Year by Year'!$B$3="Smooth",IF('2. Results'!$C$35="Both claim at 62",INDEX(ENG_S1_BASE!$CC$2:$CC$42,$A40+1),IF('2. Results'!$C$35="Both claim at 67",INDEX(ENG_S2_BASE!$CC$2:$CC$42,$A40+1),INDEX(ENG_S3_BASE!$CC$2:$CC$42,$A40+1))),IF('2. Results'!$C$35="Both claim at 62",INDEX(ENG_S1_STRESS!$CC$2:$CC$42,$A40+1),IF('2. Results'!$C$35="Both claim at 67",INDEX(ENG_S2_STRESS!$CC$2:$CC$42,$A40+1),INDEX(ENG_S3_STRESS!$CC$2:$CC$42,$A40+1)))))</f>
        <v/>
      </c>
    </row>
    <row r="41">
      <c r="A41" s="43" t="n">
        <v>35</v>
      </c>
      <c r="B41" s="48">
        <f>IF(Tables!$B$13+$A41&gt;Tables!$B$18,"",Tables!$B$14+$A41)</f>
        <v/>
      </c>
      <c r="C41" s="48">
        <f>IF(Tables!$B$13+$A41&gt;Tables!$B$18,"",Tables!$B$13+$A41)</f>
        <v/>
      </c>
      <c r="D41" s="56">
        <f>IF(Tables!$B$13+$A41&gt;Tables!$B$18,"",IF('3. Year by Year'!$B$3="Smooth",IF('2. Results'!$C$35="Both claim at 62",INDEX(ENG_S1_BASE!$D$2:$D$42,$A41+1),IF('2. Results'!$C$35="Both claim at 67",INDEX(ENG_S2_BASE!$D$2:$D$42,$A41+1),INDEX(ENG_S3_BASE!$D$2:$D$42,$A41+1))),IF('2. Results'!$C$35="Both claim at 62",INDEX(ENG_S1_STRESS!$D$2:$D$42,$A41+1),IF('2. Results'!$C$35="Both claim at 67",INDEX(ENG_S2_STRESS!$D$2:$D$42,$A41+1),INDEX(ENG_S3_STRESS!$D$2:$D$42,$A41+1)))))</f>
        <v/>
      </c>
      <c r="E41" s="47">
        <f>IF(Tables!$B$13+$A41&gt;Tables!$B$18,"",IF('3. Year by Year'!$B$3="Smooth",IF('2. Results'!$C$35="Both claim at 62",INDEX(ENG_S1_BASE!$G$2:$G$42,$A41+1),IF('2. Results'!$C$35="Both claim at 67",INDEX(ENG_S2_BASE!$G$2:$G$42,$A41+1),INDEX(ENG_S3_BASE!$G$2:$G$42,$A41+1))),IF('2. Results'!$C$35="Both claim at 62",INDEX(ENG_S1_STRESS!$G$2:$G$42,$A41+1),IF('2. Results'!$C$35="Both claim at 67",INDEX(ENG_S2_STRESS!$G$2:$G$42,$A41+1),INDEX(ENG_S3_STRESS!$G$2:$G$42,$A41+1)))))</f>
        <v/>
      </c>
      <c r="F41" s="47">
        <f>IF(Tables!$B$13+$A41&gt;Tables!$B$18,"",IF('3. Year by Year'!$B$3="Smooth",IF('2. Results'!$C$35="Both claim at 62",INDEX(ENG_S1_BASE!$H$2:$H$42,$A41+1),IF('2. Results'!$C$35="Both claim at 67",INDEX(ENG_S2_BASE!$H$2:$H$42,$A41+1),INDEX(ENG_S3_BASE!$H$2:$H$42,$A41+1))),IF('2. Results'!$C$35="Both claim at 62",INDEX(ENG_S1_STRESS!$H$2:$H$42,$A41+1),IF('2. Results'!$C$35="Both claim at 67",INDEX(ENG_S2_STRESS!$H$2:$H$42,$A41+1),INDEX(ENG_S3_STRESS!$H$2:$H$42,$A41+1)))))</f>
        <v/>
      </c>
      <c r="G41" s="47">
        <f>IF(Tables!$B$13+$A41&gt;Tables!$B$18,"",IF('3. Year by Year'!$B$3="Smooth",IF('2. Results'!$C$35="Both claim at 62",INDEX(ENG_S1_BASE!$L$2:$L$42,$A41+1),IF('2. Results'!$C$35="Both claim at 67",INDEX(ENG_S2_BASE!$L$2:$L$42,$A41+1),INDEX(ENG_S3_BASE!$L$2:$L$42,$A41+1))),IF('2. Results'!$C$35="Both claim at 62",INDEX(ENG_S1_STRESS!$L$2:$L$42,$A41+1),IF('2. Results'!$C$35="Both claim at 67",INDEX(ENG_S2_STRESS!$L$2:$L$42,$A41+1),INDEX(ENG_S3_STRESS!$L$2:$L$42,$A41+1)))))</f>
        <v/>
      </c>
      <c r="H41" s="47">
        <f>IF(Tables!$B$13+$A41&gt;Tables!$B$18,"",IF('3. Year by Year'!$B$3="Smooth",IF('2. Results'!$C$35="Both claim at 62",INDEX(ENG_S1_BASE!$BQ$2:$BQ$42,$A41+1),IF('2. Results'!$C$35="Both claim at 67",INDEX(ENG_S2_BASE!$BQ$2:$BQ$42,$A41+1),INDEX(ENG_S3_BASE!$BQ$2:$BQ$42,$A41+1))),IF('2. Results'!$C$35="Both claim at 62",INDEX(ENG_S1_STRESS!$BQ$2:$BQ$42,$A41+1),IF('2. Results'!$C$35="Both claim at 67",INDEX(ENG_S2_STRESS!$BQ$2:$BQ$42,$A41+1),INDEX(ENG_S3_STRESS!$BQ$2:$BQ$42,$A41+1)))))</f>
        <v/>
      </c>
      <c r="I41" s="47">
        <f>IF(Tables!$B$13+$A41&gt;Tables!$B$18,"",IF('3. Year by Year'!$B$3="Smooth",IF('2. Results'!$C$35="Both claim at 62",INDEX(ENG_S1_BASE!$Q$2:$Q$42,$A41+1),IF('2. Results'!$C$35="Both claim at 67",INDEX(ENG_S2_BASE!$Q$2:$Q$42,$A41+1),INDEX(ENG_S3_BASE!$Q$2:$Q$42,$A41+1))),IF('2. Results'!$C$35="Both claim at 62",INDEX(ENG_S1_STRESS!$Q$2:$Q$42,$A41+1),IF('2. Results'!$C$35="Both claim at 67",INDEX(ENG_S2_STRESS!$Q$2:$Q$42,$A41+1),INDEX(ENG_S3_STRESS!$Q$2:$Q$42,$A41+1)))))</f>
        <v/>
      </c>
      <c r="J41" s="47">
        <f>IF(Tables!$B$13+$A41&gt;Tables!$B$18,"",IF('3. Year by Year'!$B$3="Smooth",IF('2. Results'!$C$35="Both claim at 62",INDEX(ENG_S1_BASE!$BV$2:$BV$42,$A41+1),IF('2. Results'!$C$35="Both claim at 67",INDEX(ENG_S2_BASE!$BV$2:$BV$42,$A41+1),INDEX(ENG_S3_BASE!$BV$2:$BV$42,$A41+1))),IF('2. Results'!$C$35="Both claim at 62",INDEX(ENG_S1_STRESS!$BV$2:$BV$42,$A41+1),IF('2. Results'!$C$35="Both claim at 67",INDEX(ENG_S2_STRESS!$BV$2:$BV$42,$A41+1),INDEX(ENG_S3_STRESS!$BV$2:$BV$42,$A41+1)))))</f>
        <v/>
      </c>
      <c r="K41" s="47">
        <f>IF(Tables!$B$13+$A41&gt;Tables!$B$18,"",IF('3. Year by Year'!$B$3="Smooth",IF('2. Results'!$C$35="Both claim at 62",INDEX(ENG_S1_BASE!$BR$2:$BR$42,$A41+1),IF('2. Results'!$C$35="Both claim at 67",INDEX(ENG_S2_BASE!$BR$2:$BR$42,$A41+1),INDEX(ENG_S3_BASE!$BR$2:$BR$42,$A41+1))),IF('2. Results'!$C$35="Both claim at 62",INDEX(ENG_S1_STRESS!$BR$2:$BR$42,$A41+1),IF('2. Results'!$C$35="Both claim at 67",INDEX(ENG_S2_STRESS!$BR$2:$BR$42,$A41+1),INDEX(ENG_S3_STRESS!$BR$2:$BR$42,$A41+1)))))</f>
        <v/>
      </c>
      <c r="L41" s="47">
        <f>IF(Tables!$B$13+$A41&gt;Tables!$B$18,"",IF('3. Year by Year'!$B$3="Smooth",IF('2. Results'!$C$35="Both claim at 62",INDEX(ENG_S1_BASE!$BT$2:$BT$42,$A41+1),IF('2. Results'!$C$35="Both claim at 67",INDEX(ENG_S2_BASE!$BT$2:$BT$42,$A41+1),INDEX(ENG_S3_BASE!$BT$2:$BT$42,$A41+1))),IF('2. Results'!$C$35="Both claim at 62",INDEX(ENG_S1_STRESS!$BT$2:$BT$42,$A41+1),IF('2. Results'!$C$35="Both claim at 67",INDEX(ENG_S2_STRESS!$BT$2:$BT$42,$A41+1),INDEX(ENG_S3_STRESS!$BT$2:$BT$42,$A41+1)))))</f>
        <v/>
      </c>
      <c r="M41" s="47">
        <f>IF(Tables!$B$13+$A41&gt;Tables!$B$18,"",IF('3. Year by Year'!$B$3="Smooth",IF('2. Results'!$C$35="Both claim at 62",INDEX(ENG_S1_BASE!$BX$2:$BX$42,$A41+1),IF('2. Results'!$C$35="Both claim at 67",INDEX(ENG_S2_BASE!$BX$2:$BX$42,$A41+1),INDEX(ENG_S3_BASE!$BX$2:$BX$42,$A41+1))),IF('2. Results'!$C$35="Both claim at 62",INDEX(ENG_S1_STRESS!$BX$2:$BX$42,$A41+1),IF('2. Results'!$C$35="Both claim at 67",INDEX(ENG_S2_STRESS!$BX$2:$BX$42,$A41+1),INDEX(ENG_S3_STRESS!$BX$2:$BX$42,$A41+1)))))</f>
        <v/>
      </c>
      <c r="N41" s="47">
        <f>IF(Tables!$B$13+$A41&gt;Tables!$B$18,"",IF('3. Year by Year'!$B$3="Smooth",IF('2. Results'!$C$35="Both claim at 62",INDEX(ENG_S1_BASE!$BY$2:$BY$42,$A41+1),IF('2. Results'!$C$35="Both claim at 67",INDEX(ENG_S2_BASE!$BY$2:$BY$42,$A41+1),INDEX(ENG_S3_BASE!$BY$2:$BY$42,$A41+1))),IF('2. Results'!$C$35="Both claim at 62",INDEX(ENG_S1_STRESS!$BY$2:$BY$42,$A41+1),IF('2. Results'!$C$35="Both claim at 67",INDEX(ENG_S2_STRESS!$BY$2:$BY$42,$A41+1),INDEX(ENG_S3_STRESS!$BY$2:$BY$42,$A41+1)))))</f>
        <v/>
      </c>
      <c r="O41" s="47">
        <f>IF(Tables!$B$13+$A41&gt;Tables!$B$18,"",IF('3. Year by Year'!$B$3="Smooth",IF('2. Results'!$C$35="Both claim at 62",INDEX(ENG_S1_BASE!$BZ$2:$BZ$42,$A41+1),IF('2. Results'!$C$35="Both claim at 67",INDEX(ENG_S2_BASE!$BZ$2:$BZ$42,$A41+1),INDEX(ENG_S3_BASE!$BZ$2:$BZ$42,$A41+1))),IF('2. Results'!$C$35="Both claim at 62",INDEX(ENG_S1_STRESS!$BZ$2:$BZ$42,$A41+1),IF('2. Results'!$C$35="Both claim at 67",INDEX(ENG_S2_STRESS!$BZ$2:$BZ$42,$A41+1),INDEX(ENG_S3_STRESS!$BZ$2:$BZ$42,$A41+1)))))</f>
        <v/>
      </c>
      <c r="P41" s="47">
        <f>IF(Tables!$B$13+$A41&gt;Tables!$B$18,"",IF('3. Year by Year'!$B$3="Smooth",IF('2. Results'!$C$35="Both claim at 62",INDEX(ENG_S1_BASE!$CA$2:$CA$42,$A41+1),IF('2. Results'!$C$35="Both claim at 67",INDEX(ENG_S2_BASE!$CA$2:$CA$42,$A41+1),INDEX(ENG_S3_BASE!$CA$2:$CA$42,$A41+1))),IF('2. Results'!$C$35="Both claim at 62",INDEX(ENG_S1_STRESS!$CA$2:$CA$42,$A41+1),IF('2. Results'!$C$35="Both claim at 67",INDEX(ENG_S2_STRESS!$CA$2:$CA$42,$A41+1),INDEX(ENG_S3_STRESS!$CA$2:$CA$42,$A41+1)))))</f>
        <v/>
      </c>
      <c r="Q41" s="47">
        <f>IF(Tables!$B$13+$A41&gt;Tables!$B$18,"",IF('3. Year by Year'!$B$3="Smooth",IF('2. Results'!$C$35="Both claim at 62",INDEX(ENG_S1_BASE!$CB$2:$CB$42,$A41+1),IF('2. Results'!$C$35="Both claim at 67",INDEX(ENG_S2_BASE!$CB$2:$CB$42,$A41+1),INDEX(ENG_S3_BASE!$CB$2:$CB$42,$A41+1))),IF('2. Results'!$C$35="Both claim at 62",INDEX(ENG_S1_STRESS!$CB$2:$CB$42,$A41+1),IF('2. Results'!$C$35="Both claim at 67",INDEX(ENG_S2_STRESS!$CB$2:$CB$42,$A41+1),INDEX(ENG_S3_STRESS!$CB$2:$CB$42,$A41+1)))))</f>
        <v/>
      </c>
      <c r="R41" s="47">
        <f>IF(Tables!$B$13+$A41&gt;Tables!$B$18,"",IF('3. Year by Year'!$B$3="Smooth",IF('2. Results'!$C$35="Both claim at 62",INDEX(ENG_S1_BASE!$CC$2:$CC$42,$A41+1),IF('2. Results'!$C$35="Both claim at 67",INDEX(ENG_S2_BASE!$CC$2:$CC$42,$A41+1),INDEX(ENG_S3_BASE!$CC$2:$CC$42,$A41+1))),IF('2. Results'!$C$35="Both claim at 62",INDEX(ENG_S1_STRESS!$CC$2:$CC$42,$A41+1),IF('2. Results'!$C$35="Both claim at 67",INDEX(ENG_S2_STRESS!$CC$2:$CC$42,$A41+1),INDEX(ENG_S3_STRESS!$CC$2:$CC$42,$A41+1)))))</f>
        <v/>
      </c>
    </row>
    <row r="42">
      <c r="A42" s="43" t="n">
        <v>36</v>
      </c>
      <c r="B42" s="51">
        <f>IF(Tables!$B$13+$A42&gt;Tables!$B$18,"",Tables!$B$14+$A42)</f>
        <v/>
      </c>
      <c r="C42" s="51">
        <f>IF(Tables!$B$13+$A42&gt;Tables!$B$18,"",Tables!$B$13+$A42)</f>
        <v/>
      </c>
      <c r="D42" s="55">
        <f>IF(Tables!$B$13+$A42&gt;Tables!$B$18,"",IF('3. Year by Year'!$B$3="Smooth",IF('2. Results'!$C$35="Both claim at 62",INDEX(ENG_S1_BASE!$D$2:$D$42,$A42+1),IF('2. Results'!$C$35="Both claim at 67",INDEX(ENG_S2_BASE!$D$2:$D$42,$A42+1),INDEX(ENG_S3_BASE!$D$2:$D$42,$A42+1))),IF('2. Results'!$C$35="Both claim at 62",INDEX(ENG_S1_STRESS!$D$2:$D$42,$A42+1),IF('2. Results'!$C$35="Both claim at 67",INDEX(ENG_S2_STRESS!$D$2:$D$42,$A42+1),INDEX(ENG_S3_STRESS!$D$2:$D$42,$A42+1)))))</f>
        <v/>
      </c>
      <c r="E42" s="50">
        <f>IF(Tables!$B$13+$A42&gt;Tables!$B$18,"",IF('3. Year by Year'!$B$3="Smooth",IF('2. Results'!$C$35="Both claim at 62",INDEX(ENG_S1_BASE!$G$2:$G$42,$A42+1),IF('2. Results'!$C$35="Both claim at 67",INDEX(ENG_S2_BASE!$G$2:$G$42,$A42+1),INDEX(ENG_S3_BASE!$G$2:$G$42,$A42+1))),IF('2. Results'!$C$35="Both claim at 62",INDEX(ENG_S1_STRESS!$G$2:$G$42,$A42+1),IF('2. Results'!$C$35="Both claim at 67",INDEX(ENG_S2_STRESS!$G$2:$G$42,$A42+1),INDEX(ENG_S3_STRESS!$G$2:$G$42,$A42+1)))))</f>
        <v/>
      </c>
      <c r="F42" s="50">
        <f>IF(Tables!$B$13+$A42&gt;Tables!$B$18,"",IF('3. Year by Year'!$B$3="Smooth",IF('2. Results'!$C$35="Both claim at 62",INDEX(ENG_S1_BASE!$H$2:$H$42,$A42+1),IF('2. Results'!$C$35="Both claim at 67",INDEX(ENG_S2_BASE!$H$2:$H$42,$A42+1),INDEX(ENG_S3_BASE!$H$2:$H$42,$A42+1))),IF('2. Results'!$C$35="Both claim at 62",INDEX(ENG_S1_STRESS!$H$2:$H$42,$A42+1),IF('2. Results'!$C$35="Both claim at 67",INDEX(ENG_S2_STRESS!$H$2:$H$42,$A42+1),INDEX(ENG_S3_STRESS!$H$2:$H$42,$A42+1)))))</f>
        <v/>
      </c>
      <c r="G42" s="50">
        <f>IF(Tables!$B$13+$A42&gt;Tables!$B$18,"",IF('3. Year by Year'!$B$3="Smooth",IF('2. Results'!$C$35="Both claim at 62",INDEX(ENG_S1_BASE!$L$2:$L$42,$A42+1),IF('2. Results'!$C$35="Both claim at 67",INDEX(ENG_S2_BASE!$L$2:$L$42,$A42+1),INDEX(ENG_S3_BASE!$L$2:$L$42,$A42+1))),IF('2. Results'!$C$35="Both claim at 62",INDEX(ENG_S1_STRESS!$L$2:$L$42,$A42+1),IF('2. Results'!$C$35="Both claim at 67",INDEX(ENG_S2_STRESS!$L$2:$L$42,$A42+1),INDEX(ENG_S3_STRESS!$L$2:$L$42,$A42+1)))))</f>
        <v/>
      </c>
      <c r="H42" s="50">
        <f>IF(Tables!$B$13+$A42&gt;Tables!$B$18,"",IF('3. Year by Year'!$B$3="Smooth",IF('2. Results'!$C$35="Both claim at 62",INDEX(ENG_S1_BASE!$BQ$2:$BQ$42,$A42+1),IF('2. Results'!$C$35="Both claim at 67",INDEX(ENG_S2_BASE!$BQ$2:$BQ$42,$A42+1),INDEX(ENG_S3_BASE!$BQ$2:$BQ$42,$A42+1))),IF('2. Results'!$C$35="Both claim at 62",INDEX(ENG_S1_STRESS!$BQ$2:$BQ$42,$A42+1),IF('2. Results'!$C$35="Both claim at 67",INDEX(ENG_S2_STRESS!$BQ$2:$BQ$42,$A42+1),INDEX(ENG_S3_STRESS!$BQ$2:$BQ$42,$A42+1)))))</f>
        <v/>
      </c>
      <c r="I42" s="50">
        <f>IF(Tables!$B$13+$A42&gt;Tables!$B$18,"",IF('3. Year by Year'!$B$3="Smooth",IF('2. Results'!$C$35="Both claim at 62",INDEX(ENG_S1_BASE!$Q$2:$Q$42,$A42+1),IF('2. Results'!$C$35="Both claim at 67",INDEX(ENG_S2_BASE!$Q$2:$Q$42,$A42+1),INDEX(ENG_S3_BASE!$Q$2:$Q$42,$A42+1))),IF('2. Results'!$C$35="Both claim at 62",INDEX(ENG_S1_STRESS!$Q$2:$Q$42,$A42+1),IF('2. Results'!$C$35="Both claim at 67",INDEX(ENG_S2_STRESS!$Q$2:$Q$42,$A42+1),INDEX(ENG_S3_STRESS!$Q$2:$Q$42,$A42+1)))))</f>
        <v/>
      </c>
      <c r="J42" s="50">
        <f>IF(Tables!$B$13+$A42&gt;Tables!$B$18,"",IF('3. Year by Year'!$B$3="Smooth",IF('2. Results'!$C$35="Both claim at 62",INDEX(ENG_S1_BASE!$BV$2:$BV$42,$A42+1),IF('2. Results'!$C$35="Both claim at 67",INDEX(ENG_S2_BASE!$BV$2:$BV$42,$A42+1),INDEX(ENG_S3_BASE!$BV$2:$BV$42,$A42+1))),IF('2. Results'!$C$35="Both claim at 62",INDEX(ENG_S1_STRESS!$BV$2:$BV$42,$A42+1),IF('2. Results'!$C$35="Both claim at 67",INDEX(ENG_S2_STRESS!$BV$2:$BV$42,$A42+1),INDEX(ENG_S3_STRESS!$BV$2:$BV$42,$A42+1)))))</f>
        <v/>
      </c>
      <c r="K42" s="50">
        <f>IF(Tables!$B$13+$A42&gt;Tables!$B$18,"",IF('3. Year by Year'!$B$3="Smooth",IF('2. Results'!$C$35="Both claim at 62",INDEX(ENG_S1_BASE!$BR$2:$BR$42,$A42+1),IF('2. Results'!$C$35="Both claim at 67",INDEX(ENG_S2_BASE!$BR$2:$BR$42,$A42+1),INDEX(ENG_S3_BASE!$BR$2:$BR$42,$A42+1))),IF('2. Results'!$C$35="Both claim at 62",INDEX(ENG_S1_STRESS!$BR$2:$BR$42,$A42+1),IF('2. Results'!$C$35="Both claim at 67",INDEX(ENG_S2_STRESS!$BR$2:$BR$42,$A42+1),INDEX(ENG_S3_STRESS!$BR$2:$BR$42,$A42+1)))))</f>
        <v/>
      </c>
      <c r="L42" s="50">
        <f>IF(Tables!$B$13+$A42&gt;Tables!$B$18,"",IF('3. Year by Year'!$B$3="Smooth",IF('2. Results'!$C$35="Both claim at 62",INDEX(ENG_S1_BASE!$BT$2:$BT$42,$A42+1),IF('2. Results'!$C$35="Both claim at 67",INDEX(ENG_S2_BASE!$BT$2:$BT$42,$A42+1),INDEX(ENG_S3_BASE!$BT$2:$BT$42,$A42+1))),IF('2. Results'!$C$35="Both claim at 62",INDEX(ENG_S1_STRESS!$BT$2:$BT$42,$A42+1),IF('2. Results'!$C$35="Both claim at 67",INDEX(ENG_S2_STRESS!$BT$2:$BT$42,$A42+1),INDEX(ENG_S3_STRESS!$BT$2:$BT$42,$A42+1)))))</f>
        <v/>
      </c>
      <c r="M42" s="50">
        <f>IF(Tables!$B$13+$A42&gt;Tables!$B$18,"",IF('3. Year by Year'!$B$3="Smooth",IF('2. Results'!$C$35="Both claim at 62",INDEX(ENG_S1_BASE!$BX$2:$BX$42,$A42+1),IF('2. Results'!$C$35="Both claim at 67",INDEX(ENG_S2_BASE!$BX$2:$BX$42,$A42+1),INDEX(ENG_S3_BASE!$BX$2:$BX$42,$A42+1))),IF('2. Results'!$C$35="Both claim at 62",INDEX(ENG_S1_STRESS!$BX$2:$BX$42,$A42+1),IF('2. Results'!$C$35="Both claim at 67",INDEX(ENG_S2_STRESS!$BX$2:$BX$42,$A42+1),INDEX(ENG_S3_STRESS!$BX$2:$BX$42,$A42+1)))))</f>
        <v/>
      </c>
      <c r="N42" s="50">
        <f>IF(Tables!$B$13+$A42&gt;Tables!$B$18,"",IF('3. Year by Year'!$B$3="Smooth",IF('2. Results'!$C$35="Both claim at 62",INDEX(ENG_S1_BASE!$BY$2:$BY$42,$A42+1),IF('2. Results'!$C$35="Both claim at 67",INDEX(ENG_S2_BASE!$BY$2:$BY$42,$A42+1),INDEX(ENG_S3_BASE!$BY$2:$BY$42,$A42+1))),IF('2. Results'!$C$35="Both claim at 62",INDEX(ENG_S1_STRESS!$BY$2:$BY$42,$A42+1),IF('2. Results'!$C$35="Both claim at 67",INDEX(ENG_S2_STRESS!$BY$2:$BY$42,$A42+1),INDEX(ENG_S3_STRESS!$BY$2:$BY$42,$A42+1)))))</f>
        <v/>
      </c>
      <c r="O42" s="50">
        <f>IF(Tables!$B$13+$A42&gt;Tables!$B$18,"",IF('3. Year by Year'!$B$3="Smooth",IF('2. Results'!$C$35="Both claim at 62",INDEX(ENG_S1_BASE!$BZ$2:$BZ$42,$A42+1),IF('2. Results'!$C$35="Both claim at 67",INDEX(ENG_S2_BASE!$BZ$2:$BZ$42,$A42+1),INDEX(ENG_S3_BASE!$BZ$2:$BZ$42,$A42+1))),IF('2. Results'!$C$35="Both claim at 62",INDEX(ENG_S1_STRESS!$BZ$2:$BZ$42,$A42+1),IF('2. Results'!$C$35="Both claim at 67",INDEX(ENG_S2_STRESS!$BZ$2:$BZ$42,$A42+1),INDEX(ENG_S3_STRESS!$BZ$2:$BZ$42,$A42+1)))))</f>
        <v/>
      </c>
      <c r="P42" s="50">
        <f>IF(Tables!$B$13+$A42&gt;Tables!$B$18,"",IF('3. Year by Year'!$B$3="Smooth",IF('2. Results'!$C$35="Both claim at 62",INDEX(ENG_S1_BASE!$CA$2:$CA$42,$A42+1),IF('2. Results'!$C$35="Both claim at 67",INDEX(ENG_S2_BASE!$CA$2:$CA$42,$A42+1),INDEX(ENG_S3_BASE!$CA$2:$CA$42,$A42+1))),IF('2. Results'!$C$35="Both claim at 62",INDEX(ENG_S1_STRESS!$CA$2:$CA$42,$A42+1),IF('2. Results'!$C$35="Both claim at 67",INDEX(ENG_S2_STRESS!$CA$2:$CA$42,$A42+1),INDEX(ENG_S3_STRESS!$CA$2:$CA$42,$A42+1)))))</f>
        <v/>
      </c>
      <c r="Q42" s="50">
        <f>IF(Tables!$B$13+$A42&gt;Tables!$B$18,"",IF('3. Year by Year'!$B$3="Smooth",IF('2. Results'!$C$35="Both claim at 62",INDEX(ENG_S1_BASE!$CB$2:$CB$42,$A42+1),IF('2. Results'!$C$35="Both claim at 67",INDEX(ENG_S2_BASE!$CB$2:$CB$42,$A42+1),INDEX(ENG_S3_BASE!$CB$2:$CB$42,$A42+1))),IF('2. Results'!$C$35="Both claim at 62",INDEX(ENG_S1_STRESS!$CB$2:$CB$42,$A42+1),IF('2. Results'!$C$35="Both claim at 67",INDEX(ENG_S2_STRESS!$CB$2:$CB$42,$A42+1),INDEX(ENG_S3_STRESS!$CB$2:$CB$42,$A42+1)))))</f>
        <v/>
      </c>
      <c r="R42" s="50">
        <f>IF(Tables!$B$13+$A42&gt;Tables!$B$18,"",IF('3. Year by Year'!$B$3="Smooth",IF('2. Results'!$C$35="Both claim at 62",INDEX(ENG_S1_BASE!$CC$2:$CC$42,$A42+1),IF('2. Results'!$C$35="Both claim at 67",INDEX(ENG_S2_BASE!$CC$2:$CC$42,$A42+1),INDEX(ENG_S3_BASE!$CC$2:$CC$42,$A42+1))),IF('2. Results'!$C$35="Both claim at 62",INDEX(ENG_S1_STRESS!$CC$2:$CC$42,$A42+1),IF('2. Results'!$C$35="Both claim at 67",INDEX(ENG_S2_STRESS!$CC$2:$CC$42,$A42+1),INDEX(ENG_S3_STRESS!$CC$2:$CC$42,$A42+1)))))</f>
        <v/>
      </c>
    </row>
    <row r="43">
      <c r="A43" s="43" t="n">
        <v>37</v>
      </c>
      <c r="B43" s="48">
        <f>IF(Tables!$B$13+$A43&gt;Tables!$B$18,"",Tables!$B$14+$A43)</f>
        <v/>
      </c>
      <c r="C43" s="48">
        <f>IF(Tables!$B$13+$A43&gt;Tables!$B$18,"",Tables!$B$13+$A43)</f>
        <v/>
      </c>
      <c r="D43" s="56">
        <f>IF(Tables!$B$13+$A43&gt;Tables!$B$18,"",IF('3. Year by Year'!$B$3="Smooth",IF('2. Results'!$C$35="Both claim at 62",INDEX(ENG_S1_BASE!$D$2:$D$42,$A43+1),IF('2. Results'!$C$35="Both claim at 67",INDEX(ENG_S2_BASE!$D$2:$D$42,$A43+1),INDEX(ENG_S3_BASE!$D$2:$D$42,$A43+1))),IF('2. Results'!$C$35="Both claim at 62",INDEX(ENG_S1_STRESS!$D$2:$D$42,$A43+1),IF('2. Results'!$C$35="Both claim at 67",INDEX(ENG_S2_STRESS!$D$2:$D$42,$A43+1),INDEX(ENG_S3_STRESS!$D$2:$D$42,$A43+1)))))</f>
        <v/>
      </c>
      <c r="E43" s="47">
        <f>IF(Tables!$B$13+$A43&gt;Tables!$B$18,"",IF('3. Year by Year'!$B$3="Smooth",IF('2. Results'!$C$35="Both claim at 62",INDEX(ENG_S1_BASE!$G$2:$G$42,$A43+1),IF('2. Results'!$C$35="Both claim at 67",INDEX(ENG_S2_BASE!$G$2:$G$42,$A43+1),INDEX(ENG_S3_BASE!$G$2:$G$42,$A43+1))),IF('2. Results'!$C$35="Both claim at 62",INDEX(ENG_S1_STRESS!$G$2:$G$42,$A43+1),IF('2. Results'!$C$35="Both claim at 67",INDEX(ENG_S2_STRESS!$G$2:$G$42,$A43+1),INDEX(ENG_S3_STRESS!$G$2:$G$42,$A43+1)))))</f>
        <v/>
      </c>
      <c r="F43" s="47">
        <f>IF(Tables!$B$13+$A43&gt;Tables!$B$18,"",IF('3. Year by Year'!$B$3="Smooth",IF('2. Results'!$C$35="Both claim at 62",INDEX(ENG_S1_BASE!$H$2:$H$42,$A43+1),IF('2. Results'!$C$35="Both claim at 67",INDEX(ENG_S2_BASE!$H$2:$H$42,$A43+1),INDEX(ENG_S3_BASE!$H$2:$H$42,$A43+1))),IF('2. Results'!$C$35="Both claim at 62",INDEX(ENG_S1_STRESS!$H$2:$H$42,$A43+1),IF('2. Results'!$C$35="Both claim at 67",INDEX(ENG_S2_STRESS!$H$2:$H$42,$A43+1),INDEX(ENG_S3_STRESS!$H$2:$H$42,$A43+1)))))</f>
        <v/>
      </c>
      <c r="G43" s="47">
        <f>IF(Tables!$B$13+$A43&gt;Tables!$B$18,"",IF('3. Year by Year'!$B$3="Smooth",IF('2. Results'!$C$35="Both claim at 62",INDEX(ENG_S1_BASE!$L$2:$L$42,$A43+1),IF('2. Results'!$C$35="Both claim at 67",INDEX(ENG_S2_BASE!$L$2:$L$42,$A43+1),INDEX(ENG_S3_BASE!$L$2:$L$42,$A43+1))),IF('2. Results'!$C$35="Both claim at 62",INDEX(ENG_S1_STRESS!$L$2:$L$42,$A43+1),IF('2. Results'!$C$35="Both claim at 67",INDEX(ENG_S2_STRESS!$L$2:$L$42,$A43+1),INDEX(ENG_S3_STRESS!$L$2:$L$42,$A43+1)))))</f>
        <v/>
      </c>
      <c r="H43" s="47">
        <f>IF(Tables!$B$13+$A43&gt;Tables!$B$18,"",IF('3. Year by Year'!$B$3="Smooth",IF('2. Results'!$C$35="Both claim at 62",INDEX(ENG_S1_BASE!$BQ$2:$BQ$42,$A43+1),IF('2. Results'!$C$35="Both claim at 67",INDEX(ENG_S2_BASE!$BQ$2:$BQ$42,$A43+1),INDEX(ENG_S3_BASE!$BQ$2:$BQ$42,$A43+1))),IF('2. Results'!$C$35="Both claim at 62",INDEX(ENG_S1_STRESS!$BQ$2:$BQ$42,$A43+1),IF('2. Results'!$C$35="Both claim at 67",INDEX(ENG_S2_STRESS!$BQ$2:$BQ$42,$A43+1),INDEX(ENG_S3_STRESS!$BQ$2:$BQ$42,$A43+1)))))</f>
        <v/>
      </c>
      <c r="I43" s="47">
        <f>IF(Tables!$B$13+$A43&gt;Tables!$B$18,"",IF('3. Year by Year'!$B$3="Smooth",IF('2. Results'!$C$35="Both claim at 62",INDEX(ENG_S1_BASE!$Q$2:$Q$42,$A43+1),IF('2. Results'!$C$35="Both claim at 67",INDEX(ENG_S2_BASE!$Q$2:$Q$42,$A43+1),INDEX(ENG_S3_BASE!$Q$2:$Q$42,$A43+1))),IF('2. Results'!$C$35="Both claim at 62",INDEX(ENG_S1_STRESS!$Q$2:$Q$42,$A43+1),IF('2. Results'!$C$35="Both claim at 67",INDEX(ENG_S2_STRESS!$Q$2:$Q$42,$A43+1),INDEX(ENG_S3_STRESS!$Q$2:$Q$42,$A43+1)))))</f>
        <v/>
      </c>
      <c r="J43" s="47">
        <f>IF(Tables!$B$13+$A43&gt;Tables!$B$18,"",IF('3. Year by Year'!$B$3="Smooth",IF('2. Results'!$C$35="Both claim at 62",INDEX(ENG_S1_BASE!$BV$2:$BV$42,$A43+1),IF('2. Results'!$C$35="Both claim at 67",INDEX(ENG_S2_BASE!$BV$2:$BV$42,$A43+1),INDEX(ENG_S3_BASE!$BV$2:$BV$42,$A43+1))),IF('2. Results'!$C$35="Both claim at 62",INDEX(ENG_S1_STRESS!$BV$2:$BV$42,$A43+1),IF('2. Results'!$C$35="Both claim at 67",INDEX(ENG_S2_STRESS!$BV$2:$BV$42,$A43+1),INDEX(ENG_S3_STRESS!$BV$2:$BV$42,$A43+1)))))</f>
        <v/>
      </c>
      <c r="K43" s="47">
        <f>IF(Tables!$B$13+$A43&gt;Tables!$B$18,"",IF('3. Year by Year'!$B$3="Smooth",IF('2. Results'!$C$35="Both claim at 62",INDEX(ENG_S1_BASE!$BR$2:$BR$42,$A43+1),IF('2. Results'!$C$35="Both claim at 67",INDEX(ENG_S2_BASE!$BR$2:$BR$42,$A43+1),INDEX(ENG_S3_BASE!$BR$2:$BR$42,$A43+1))),IF('2. Results'!$C$35="Both claim at 62",INDEX(ENG_S1_STRESS!$BR$2:$BR$42,$A43+1),IF('2. Results'!$C$35="Both claim at 67",INDEX(ENG_S2_STRESS!$BR$2:$BR$42,$A43+1),INDEX(ENG_S3_STRESS!$BR$2:$BR$42,$A43+1)))))</f>
        <v/>
      </c>
      <c r="L43" s="47">
        <f>IF(Tables!$B$13+$A43&gt;Tables!$B$18,"",IF('3. Year by Year'!$B$3="Smooth",IF('2. Results'!$C$35="Both claim at 62",INDEX(ENG_S1_BASE!$BT$2:$BT$42,$A43+1),IF('2. Results'!$C$35="Both claim at 67",INDEX(ENG_S2_BASE!$BT$2:$BT$42,$A43+1),INDEX(ENG_S3_BASE!$BT$2:$BT$42,$A43+1))),IF('2. Results'!$C$35="Both claim at 62",INDEX(ENG_S1_STRESS!$BT$2:$BT$42,$A43+1),IF('2. Results'!$C$35="Both claim at 67",INDEX(ENG_S2_STRESS!$BT$2:$BT$42,$A43+1),INDEX(ENG_S3_STRESS!$BT$2:$BT$42,$A43+1)))))</f>
        <v/>
      </c>
      <c r="M43" s="47">
        <f>IF(Tables!$B$13+$A43&gt;Tables!$B$18,"",IF('3. Year by Year'!$B$3="Smooth",IF('2. Results'!$C$35="Both claim at 62",INDEX(ENG_S1_BASE!$BX$2:$BX$42,$A43+1),IF('2. Results'!$C$35="Both claim at 67",INDEX(ENG_S2_BASE!$BX$2:$BX$42,$A43+1),INDEX(ENG_S3_BASE!$BX$2:$BX$42,$A43+1))),IF('2. Results'!$C$35="Both claim at 62",INDEX(ENG_S1_STRESS!$BX$2:$BX$42,$A43+1),IF('2. Results'!$C$35="Both claim at 67",INDEX(ENG_S2_STRESS!$BX$2:$BX$42,$A43+1),INDEX(ENG_S3_STRESS!$BX$2:$BX$42,$A43+1)))))</f>
        <v/>
      </c>
      <c r="N43" s="47">
        <f>IF(Tables!$B$13+$A43&gt;Tables!$B$18,"",IF('3. Year by Year'!$B$3="Smooth",IF('2. Results'!$C$35="Both claim at 62",INDEX(ENG_S1_BASE!$BY$2:$BY$42,$A43+1),IF('2. Results'!$C$35="Both claim at 67",INDEX(ENG_S2_BASE!$BY$2:$BY$42,$A43+1),INDEX(ENG_S3_BASE!$BY$2:$BY$42,$A43+1))),IF('2. Results'!$C$35="Both claim at 62",INDEX(ENG_S1_STRESS!$BY$2:$BY$42,$A43+1),IF('2. Results'!$C$35="Both claim at 67",INDEX(ENG_S2_STRESS!$BY$2:$BY$42,$A43+1),INDEX(ENG_S3_STRESS!$BY$2:$BY$42,$A43+1)))))</f>
        <v/>
      </c>
      <c r="O43" s="47">
        <f>IF(Tables!$B$13+$A43&gt;Tables!$B$18,"",IF('3. Year by Year'!$B$3="Smooth",IF('2. Results'!$C$35="Both claim at 62",INDEX(ENG_S1_BASE!$BZ$2:$BZ$42,$A43+1),IF('2. Results'!$C$35="Both claim at 67",INDEX(ENG_S2_BASE!$BZ$2:$BZ$42,$A43+1),INDEX(ENG_S3_BASE!$BZ$2:$BZ$42,$A43+1))),IF('2. Results'!$C$35="Both claim at 62",INDEX(ENG_S1_STRESS!$BZ$2:$BZ$42,$A43+1),IF('2. Results'!$C$35="Both claim at 67",INDEX(ENG_S2_STRESS!$BZ$2:$BZ$42,$A43+1),INDEX(ENG_S3_STRESS!$BZ$2:$BZ$42,$A43+1)))))</f>
        <v/>
      </c>
      <c r="P43" s="47">
        <f>IF(Tables!$B$13+$A43&gt;Tables!$B$18,"",IF('3. Year by Year'!$B$3="Smooth",IF('2. Results'!$C$35="Both claim at 62",INDEX(ENG_S1_BASE!$CA$2:$CA$42,$A43+1),IF('2. Results'!$C$35="Both claim at 67",INDEX(ENG_S2_BASE!$CA$2:$CA$42,$A43+1),INDEX(ENG_S3_BASE!$CA$2:$CA$42,$A43+1))),IF('2. Results'!$C$35="Both claim at 62",INDEX(ENG_S1_STRESS!$CA$2:$CA$42,$A43+1),IF('2. Results'!$C$35="Both claim at 67",INDEX(ENG_S2_STRESS!$CA$2:$CA$42,$A43+1),INDEX(ENG_S3_STRESS!$CA$2:$CA$42,$A43+1)))))</f>
        <v/>
      </c>
      <c r="Q43" s="47">
        <f>IF(Tables!$B$13+$A43&gt;Tables!$B$18,"",IF('3. Year by Year'!$B$3="Smooth",IF('2. Results'!$C$35="Both claim at 62",INDEX(ENG_S1_BASE!$CB$2:$CB$42,$A43+1),IF('2. Results'!$C$35="Both claim at 67",INDEX(ENG_S2_BASE!$CB$2:$CB$42,$A43+1),INDEX(ENG_S3_BASE!$CB$2:$CB$42,$A43+1))),IF('2. Results'!$C$35="Both claim at 62",INDEX(ENG_S1_STRESS!$CB$2:$CB$42,$A43+1),IF('2. Results'!$C$35="Both claim at 67",INDEX(ENG_S2_STRESS!$CB$2:$CB$42,$A43+1),INDEX(ENG_S3_STRESS!$CB$2:$CB$42,$A43+1)))))</f>
        <v/>
      </c>
      <c r="R43" s="47">
        <f>IF(Tables!$B$13+$A43&gt;Tables!$B$18,"",IF('3. Year by Year'!$B$3="Smooth",IF('2. Results'!$C$35="Both claim at 62",INDEX(ENG_S1_BASE!$CC$2:$CC$42,$A43+1),IF('2. Results'!$C$35="Both claim at 67",INDEX(ENG_S2_BASE!$CC$2:$CC$42,$A43+1),INDEX(ENG_S3_BASE!$CC$2:$CC$42,$A43+1))),IF('2. Results'!$C$35="Both claim at 62",INDEX(ENG_S1_STRESS!$CC$2:$CC$42,$A43+1),IF('2. Results'!$C$35="Both claim at 67",INDEX(ENG_S2_STRESS!$CC$2:$CC$42,$A43+1),INDEX(ENG_S3_STRESS!$CC$2:$CC$42,$A43+1)))))</f>
        <v/>
      </c>
    </row>
    <row r="44">
      <c r="A44" s="43" t="n">
        <v>38</v>
      </c>
      <c r="B44" s="51">
        <f>IF(Tables!$B$13+$A44&gt;Tables!$B$18,"",Tables!$B$14+$A44)</f>
        <v/>
      </c>
      <c r="C44" s="51">
        <f>IF(Tables!$B$13+$A44&gt;Tables!$B$18,"",Tables!$B$13+$A44)</f>
        <v/>
      </c>
      <c r="D44" s="55">
        <f>IF(Tables!$B$13+$A44&gt;Tables!$B$18,"",IF('3. Year by Year'!$B$3="Smooth",IF('2. Results'!$C$35="Both claim at 62",INDEX(ENG_S1_BASE!$D$2:$D$42,$A44+1),IF('2. Results'!$C$35="Both claim at 67",INDEX(ENG_S2_BASE!$D$2:$D$42,$A44+1),INDEX(ENG_S3_BASE!$D$2:$D$42,$A44+1))),IF('2. Results'!$C$35="Both claim at 62",INDEX(ENG_S1_STRESS!$D$2:$D$42,$A44+1),IF('2. Results'!$C$35="Both claim at 67",INDEX(ENG_S2_STRESS!$D$2:$D$42,$A44+1),INDEX(ENG_S3_STRESS!$D$2:$D$42,$A44+1)))))</f>
        <v/>
      </c>
      <c r="E44" s="50">
        <f>IF(Tables!$B$13+$A44&gt;Tables!$B$18,"",IF('3. Year by Year'!$B$3="Smooth",IF('2. Results'!$C$35="Both claim at 62",INDEX(ENG_S1_BASE!$G$2:$G$42,$A44+1),IF('2. Results'!$C$35="Both claim at 67",INDEX(ENG_S2_BASE!$G$2:$G$42,$A44+1),INDEX(ENG_S3_BASE!$G$2:$G$42,$A44+1))),IF('2. Results'!$C$35="Both claim at 62",INDEX(ENG_S1_STRESS!$G$2:$G$42,$A44+1),IF('2. Results'!$C$35="Both claim at 67",INDEX(ENG_S2_STRESS!$G$2:$G$42,$A44+1),INDEX(ENG_S3_STRESS!$G$2:$G$42,$A44+1)))))</f>
        <v/>
      </c>
      <c r="F44" s="50">
        <f>IF(Tables!$B$13+$A44&gt;Tables!$B$18,"",IF('3. Year by Year'!$B$3="Smooth",IF('2. Results'!$C$35="Both claim at 62",INDEX(ENG_S1_BASE!$H$2:$H$42,$A44+1),IF('2. Results'!$C$35="Both claim at 67",INDEX(ENG_S2_BASE!$H$2:$H$42,$A44+1),INDEX(ENG_S3_BASE!$H$2:$H$42,$A44+1))),IF('2. Results'!$C$35="Both claim at 62",INDEX(ENG_S1_STRESS!$H$2:$H$42,$A44+1),IF('2. Results'!$C$35="Both claim at 67",INDEX(ENG_S2_STRESS!$H$2:$H$42,$A44+1),INDEX(ENG_S3_STRESS!$H$2:$H$42,$A44+1)))))</f>
        <v/>
      </c>
      <c r="G44" s="50">
        <f>IF(Tables!$B$13+$A44&gt;Tables!$B$18,"",IF('3. Year by Year'!$B$3="Smooth",IF('2. Results'!$C$35="Both claim at 62",INDEX(ENG_S1_BASE!$L$2:$L$42,$A44+1),IF('2. Results'!$C$35="Both claim at 67",INDEX(ENG_S2_BASE!$L$2:$L$42,$A44+1),INDEX(ENG_S3_BASE!$L$2:$L$42,$A44+1))),IF('2. Results'!$C$35="Both claim at 62",INDEX(ENG_S1_STRESS!$L$2:$L$42,$A44+1),IF('2. Results'!$C$35="Both claim at 67",INDEX(ENG_S2_STRESS!$L$2:$L$42,$A44+1),INDEX(ENG_S3_STRESS!$L$2:$L$42,$A44+1)))))</f>
        <v/>
      </c>
      <c r="H44" s="50">
        <f>IF(Tables!$B$13+$A44&gt;Tables!$B$18,"",IF('3. Year by Year'!$B$3="Smooth",IF('2. Results'!$C$35="Both claim at 62",INDEX(ENG_S1_BASE!$BQ$2:$BQ$42,$A44+1),IF('2. Results'!$C$35="Both claim at 67",INDEX(ENG_S2_BASE!$BQ$2:$BQ$42,$A44+1),INDEX(ENG_S3_BASE!$BQ$2:$BQ$42,$A44+1))),IF('2. Results'!$C$35="Both claim at 62",INDEX(ENG_S1_STRESS!$BQ$2:$BQ$42,$A44+1),IF('2. Results'!$C$35="Both claim at 67",INDEX(ENG_S2_STRESS!$BQ$2:$BQ$42,$A44+1),INDEX(ENG_S3_STRESS!$BQ$2:$BQ$42,$A44+1)))))</f>
        <v/>
      </c>
      <c r="I44" s="50">
        <f>IF(Tables!$B$13+$A44&gt;Tables!$B$18,"",IF('3. Year by Year'!$B$3="Smooth",IF('2. Results'!$C$35="Both claim at 62",INDEX(ENG_S1_BASE!$Q$2:$Q$42,$A44+1),IF('2. Results'!$C$35="Both claim at 67",INDEX(ENG_S2_BASE!$Q$2:$Q$42,$A44+1),INDEX(ENG_S3_BASE!$Q$2:$Q$42,$A44+1))),IF('2. Results'!$C$35="Both claim at 62",INDEX(ENG_S1_STRESS!$Q$2:$Q$42,$A44+1),IF('2. Results'!$C$35="Both claim at 67",INDEX(ENG_S2_STRESS!$Q$2:$Q$42,$A44+1),INDEX(ENG_S3_STRESS!$Q$2:$Q$42,$A44+1)))))</f>
        <v/>
      </c>
      <c r="J44" s="50">
        <f>IF(Tables!$B$13+$A44&gt;Tables!$B$18,"",IF('3. Year by Year'!$B$3="Smooth",IF('2. Results'!$C$35="Both claim at 62",INDEX(ENG_S1_BASE!$BV$2:$BV$42,$A44+1),IF('2. Results'!$C$35="Both claim at 67",INDEX(ENG_S2_BASE!$BV$2:$BV$42,$A44+1),INDEX(ENG_S3_BASE!$BV$2:$BV$42,$A44+1))),IF('2. Results'!$C$35="Both claim at 62",INDEX(ENG_S1_STRESS!$BV$2:$BV$42,$A44+1),IF('2. Results'!$C$35="Both claim at 67",INDEX(ENG_S2_STRESS!$BV$2:$BV$42,$A44+1),INDEX(ENG_S3_STRESS!$BV$2:$BV$42,$A44+1)))))</f>
        <v/>
      </c>
      <c r="K44" s="50">
        <f>IF(Tables!$B$13+$A44&gt;Tables!$B$18,"",IF('3. Year by Year'!$B$3="Smooth",IF('2. Results'!$C$35="Both claim at 62",INDEX(ENG_S1_BASE!$BR$2:$BR$42,$A44+1),IF('2. Results'!$C$35="Both claim at 67",INDEX(ENG_S2_BASE!$BR$2:$BR$42,$A44+1),INDEX(ENG_S3_BASE!$BR$2:$BR$42,$A44+1))),IF('2. Results'!$C$35="Both claim at 62",INDEX(ENG_S1_STRESS!$BR$2:$BR$42,$A44+1),IF('2. Results'!$C$35="Both claim at 67",INDEX(ENG_S2_STRESS!$BR$2:$BR$42,$A44+1),INDEX(ENG_S3_STRESS!$BR$2:$BR$42,$A44+1)))))</f>
        <v/>
      </c>
      <c r="L44" s="50">
        <f>IF(Tables!$B$13+$A44&gt;Tables!$B$18,"",IF('3. Year by Year'!$B$3="Smooth",IF('2. Results'!$C$35="Both claim at 62",INDEX(ENG_S1_BASE!$BT$2:$BT$42,$A44+1),IF('2. Results'!$C$35="Both claim at 67",INDEX(ENG_S2_BASE!$BT$2:$BT$42,$A44+1),INDEX(ENG_S3_BASE!$BT$2:$BT$42,$A44+1))),IF('2. Results'!$C$35="Both claim at 62",INDEX(ENG_S1_STRESS!$BT$2:$BT$42,$A44+1),IF('2. Results'!$C$35="Both claim at 67",INDEX(ENG_S2_STRESS!$BT$2:$BT$42,$A44+1),INDEX(ENG_S3_STRESS!$BT$2:$BT$42,$A44+1)))))</f>
        <v/>
      </c>
      <c r="M44" s="50">
        <f>IF(Tables!$B$13+$A44&gt;Tables!$B$18,"",IF('3. Year by Year'!$B$3="Smooth",IF('2. Results'!$C$35="Both claim at 62",INDEX(ENG_S1_BASE!$BX$2:$BX$42,$A44+1),IF('2. Results'!$C$35="Both claim at 67",INDEX(ENG_S2_BASE!$BX$2:$BX$42,$A44+1),INDEX(ENG_S3_BASE!$BX$2:$BX$42,$A44+1))),IF('2. Results'!$C$35="Both claim at 62",INDEX(ENG_S1_STRESS!$BX$2:$BX$42,$A44+1),IF('2. Results'!$C$35="Both claim at 67",INDEX(ENG_S2_STRESS!$BX$2:$BX$42,$A44+1),INDEX(ENG_S3_STRESS!$BX$2:$BX$42,$A44+1)))))</f>
        <v/>
      </c>
      <c r="N44" s="50">
        <f>IF(Tables!$B$13+$A44&gt;Tables!$B$18,"",IF('3. Year by Year'!$B$3="Smooth",IF('2. Results'!$C$35="Both claim at 62",INDEX(ENG_S1_BASE!$BY$2:$BY$42,$A44+1),IF('2. Results'!$C$35="Both claim at 67",INDEX(ENG_S2_BASE!$BY$2:$BY$42,$A44+1),INDEX(ENG_S3_BASE!$BY$2:$BY$42,$A44+1))),IF('2. Results'!$C$35="Both claim at 62",INDEX(ENG_S1_STRESS!$BY$2:$BY$42,$A44+1),IF('2. Results'!$C$35="Both claim at 67",INDEX(ENG_S2_STRESS!$BY$2:$BY$42,$A44+1),INDEX(ENG_S3_STRESS!$BY$2:$BY$42,$A44+1)))))</f>
        <v/>
      </c>
      <c r="O44" s="50">
        <f>IF(Tables!$B$13+$A44&gt;Tables!$B$18,"",IF('3. Year by Year'!$B$3="Smooth",IF('2. Results'!$C$35="Both claim at 62",INDEX(ENG_S1_BASE!$BZ$2:$BZ$42,$A44+1),IF('2. Results'!$C$35="Both claim at 67",INDEX(ENG_S2_BASE!$BZ$2:$BZ$42,$A44+1),INDEX(ENG_S3_BASE!$BZ$2:$BZ$42,$A44+1))),IF('2. Results'!$C$35="Both claim at 62",INDEX(ENG_S1_STRESS!$BZ$2:$BZ$42,$A44+1),IF('2. Results'!$C$35="Both claim at 67",INDEX(ENG_S2_STRESS!$BZ$2:$BZ$42,$A44+1),INDEX(ENG_S3_STRESS!$BZ$2:$BZ$42,$A44+1)))))</f>
        <v/>
      </c>
      <c r="P44" s="50">
        <f>IF(Tables!$B$13+$A44&gt;Tables!$B$18,"",IF('3. Year by Year'!$B$3="Smooth",IF('2. Results'!$C$35="Both claim at 62",INDEX(ENG_S1_BASE!$CA$2:$CA$42,$A44+1),IF('2. Results'!$C$35="Both claim at 67",INDEX(ENG_S2_BASE!$CA$2:$CA$42,$A44+1),INDEX(ENG_S3_BASE!$CA$2:$CA$42,$A44+1))),IF('2. Results'!$C$35="Both claim at 62",INDEX(ENG_S1_STRESS!$CA$2:$CA$42,$A44+1),IF('2. Results'!$C$35="Both claim at 67",INDEX(ENG_S2_STRESS!$CA$2:$CA$42,$A44+1),INDEX(ENG_S3_STRESS!$CA$2:$CA$42,$A44+1)))))</f>
        <v/>
      </c>
      <c r="Q44" s="50">
        <f>IF(Tables!$B$13+$A44&gt;Tables!$B$18,"",IF('3. Year by Year'!$B$3="Smooth",IF('2. Results'!$C$35="Both claim at 62",INDEX(ENG_S1_BASE!$CB$2:$CB$42,$A44+1),IF('2. Results'!$C$35="Both claim at 67",INDEX(ENG_S2_BASE!$CB$2:$CB$42,$A44+1),INDEX(ENG_S3_BASE!$CB$2:$CB$42,$A44+1))),IF('2. Results'!$C$35="Both claim at 62",INDEX(ENG_S1_STRESS!$CB$2:$CB$42,$A44+1),IF('2. Results'!$C$35="Both claim at 67",INDEX(ENG_S2_STRESS!$CB$2:$CB$42,$A44+1),INDEX(ENG_S3_STRESS!$CB$2:$CB$42,$A44+1)))))</f>
        <v/>
      </c>
      <c r="R44" s="50">
        <f>IF(Tables!$B$13+$A44&gt;Tables!$B$18,"",IF('3. Year by Year'!$B$3="Smooth",IF('2. Results'!$C$35="Both claim at 62",INDEX(ENG_S1_BASE!$CC$2:$CC$42,$A44+1),IF('2. Results'!$C$35="Both claim at 67",INDEX(ENG_S2_BASE!$CC$2:$CC$42,$A44+1),INDEX(ENG_S3_BASE!$CC$2:$CC$42,$A44+1))),IF('2. Results'!$C$35="Both claim at 62",INDEX(ENG_S1_STRESS!$CC$2:$CC$42,$A44+1),IF('2. Results'!$C$35="Both claim at 67",INDEX(ENG_S2_STRESS!$CC$2:$CC$42,$A44+1),INDEX(ENG_S3_STRESS!$CC$2:$CC$42,$A44+1)))))</f>
        <v/>
      </c>
    </row>
    <row r="45">
      <c r="A45" s="43" t="n">
        <v>39</v>
      </c>
      <c r="B45" s="48">
        <f>IF(Tables!$B$13+$A45&gt;Tables!$B$18,"",Tables!$B$14+$A45)</f>
        <v/>
      </c>
      <c r="C45" s="48">
        <f>IF(Tables!$B$13+$A45&gt;Tables!$B$18,"",Tables!$B$13+$A45)</f>
        <v/>
      </c>
      <c r="D45" s="56">
        <f>IF(Tables!$B$13+$A45&gt;Tables!$B$18,"",IF('3. Year by Year'!$B$3="Smooth",IF('2. Results'!$C$35="Both claim at 62",INDEX(ENG_S1_BASE!$D$2:$D$42,$A45+1),IF('2. Results'!$C$35="Both claim at 67",INDEX(ENG_S2_BASE!$D$2:$D$42,$A45+1),INDEX(ENG_S3_BASE!$D$2:$D$42,$A45+1))),IF('2. Results'!$C$35="Both claim at 62",INDEX(ENG_S1_STRESS!$D$2:$D$42,$A45+1),IF('2. Results'!$C$35="Both claim at 67",INDEX(ENG_S2_STRESS!$D$2:$D$42,$A45+1),INDEX(ENG_S3_STRESS!$D$2:$D$42,$A45+1)))))</f>
        <v/>
      </c>
      <c r="E45" s="47">
        <f>IF(Tables!$B$13+$A45&gt;Tables!$B$18,"",IF('3. Year by Year'!$B$3="Smooth",IF('2. Results'!$C$35="Both claim at 62",INDEX(ENG_S1_BASE!$G$2:$G$42,$A45+1),IF('2. Results'!$C$35="Both claim at 67",INDEX(ENG_S2_BASE!$G$2:$G$42,$A45+1),INDEX(ENG_S3_BASE!$G$2:$G$42,$A45+1))),IF('2. Results'!$C$35="Both claim at 62",INDEX(ENG_S1_STRESS!$G$2:$G$42,$A45+1),IF('2. Results'!$C$35="Both claim at 67",INDEX(ENG_S2_STRESS!$G$2:$G$42,$A45+1),INDEX(ENG_S3_STRESS!$G$2:$G$42,$A45+1)))))</f>
        <v/>
      </c>
      <c r="F45" s="47">
        <f>IF(Tables!$B$13+$A45&gt;Tables!$B$18,"",IF('3. Year by Year'!$B$3="Smooth",IF('2. Results'!$C$35="Both claim at 62",INDEX(ENG_S1_BASE!$H$2:$H$42,$A45+1),IF('2. Results'!$C$35="Both claim at 67",INDEX(ENG_S2_BASE!$H$2:$H$42,$A45+1),INDEX(ENG_S3_BASE!$H$2:$H$42,$A45+1))),IF('2. Results'!$C$35="Both claim at 62",INDEX(ENG_S1_STRESS!$H$2:$H$42,$A45+1),IF('2. Results'!$C$35="Both claim at 67",INDEX(ENG_S2_STRESS!$H$2:$H$42,$A45+1),INDEX(ENG_S3_STRESS!$H$2:$H$42,$A45+1)))))</f>
        <v/>
      </c>
      <c r="G45" s="47">
        <f>IF(Tables!$B$13+$A45&gt;Tables!$B$18,"",IF('3. Year by Year'!$B$3="Smooth",IF('2. Results'!$C$35="Both claim at 62",INDEX(ENG_S1_BASE!$L$2:$L$42,$A45+1),IF('2. Results'!$C$35="Both claim at 67",INDEX(ENG_S2_BASE!$L$2:$L$42,$A45+1),INDEX(ENG_S3_BASE!$L$2:$L$42,$A45+1))),IF('2. Results'!$C$35="Both claim at 62",INDEX(ENG_S1_STRESS!$L$2:$L$42,$A45+1),IF('2. Results'!$C$35="Both claim at 67",INDEX(ENG_S2_STRESS!$L$2:$L$42,$A45+1),INDEX(ENG_S3_STRESS!$L$2:$L$42,$A45+1)))))</f>
        <v/>
      </c>
      <c r="H45" s="47">
        <f>IF(Tables!$B$13+$A45&gt;Tables!$B$18,"",IF('3. Year by Year'!$B$3="Smooth",IF('2. Results'!$C$35="Both claim at 62",INDEX(ENG_S1_BASE!$BQ$2:$BQ$42,$A45+1),IF('2. Results'!$C$35="Both claim at 67",INDEX(ENG_S2_BASE!$BQ$2:$BQ$42,$A45+1),INDEX(ENG_S3_BASE!$BQ$2:$BQ$42,$A45+1))),IF('2. Results'!$C$35="Both claim at 62",INDEX(ENG_S1_STRESS!$BQ$2:$BQ$42,$A45+1),IF('2. Results'!$C$35="Both claim at 67",INDEX(ENG_S2_STRESS!$BQ$2:$BQ$42,$A45+1),INDEX(ENG_S3_STRESS!$BQ$2:$BQ$42,$A45+1)))))</f>
        <v/>
      </c>
      <c r="I45" s="47">
        <f>IF(Tables!$B$13+$A45&gt;Tables!$B$18,"",IF('3. Year by Year'!$B$3="Smooth",IF('2. Results'!$C$35="Both claim at 62",INDEX(ENG_S1_BASE!$Q$2:$Q$42,$A45+1),IF('2. Results'!$C$35="Both claim at 67",INDEX(ENG_S2_BASE!$Q$2:$Q$42,$A45+1),INDEX(ENG_S3_BASE!$Q$2:$Q$42,$A45+1))),IF('2. Results'!$C$35="Both claim at 62",INDEX(ENG_S1_STRESS!$Q$2:$Q$42,$A45+1),IF('2. Results'!$C$35="Both claim at 67",INDEX(ENG_S2_STRESS!$Q$2:$Q$42,$A45+1),INDEX(ENG_S3_STRESS!$Q$2:$Q$42,$A45+1)))))</f>
        <v/>
      </c>
      <c r="J45" s="47">
        <f>IF(Tables!$B$13+$A45&gt;Tables!$B$18,"",IF('3. Year by Year'!$B$3="Smooth",IF('2. Results'!$C$35="Both claim at 62",INDEX(ENG_S1_BASE!$BV$2:$BV$42,$A45+1),IF('2. Results'!$C$35="Both claim at 67",INDEX(ENG_S2_BASE!$BV$2:$BV$42,$A45+1),INDEX(ENG_S3_BASE!$BV$2:$BV$42,$A45+1))),IF('2. Results'!$C$35="Both claim at 62",INDEX(ENG_S1_STRESS!$BV$2:$BV$42,$A45+1),IF('2. Results'!$C$35="Both claim at 67",INDEX(ENG_S2_STRESS!$BV$2:$BV$42,$A45+1),INDEX(ENG_S3_STRESS!$BV$2:$BV$42,$A45+1)))))</f>
        <v/>
      </c>
      <c r="K45" s="47">
        <f>IF(Tables!$B$13+$A45&gt;Tables!$B$18,"",IF('3. Year by Year'!$B$3="Smooth",IF('2. Results'!$C$35="Both claim at 62",INDEX(ENG_S1_BASE!$BR$2:$BR$42,$A45+1),IF('2. Results'!$C$35="Both claim at 67",INDEX(ENG_S2_BASE!$BR$2:$BR$42,$A45+1),INDEX(ENG_S3_BASE!$BR$2:$BR$42,$A45+1))),IF('2. Results'!$C$35="Both claim at 62",INDEX(ENG_S1_STRESS!$BR$2:$BR$42,$A45+1),IF('2. Results'!$C$35="Both claim at 67",INDEX(ENG_S2_STRESS!$BR$2:$BR$42,$A45+1),INDEX(ENG_S3_STRESS!$BR$2:$BR$42,$A45+1)))))</f>
        <v/>
      </c>
      <c r="L45" s="47">
        <f>IF(Tables!$B$13+$A45&gt;Tables!$B$18,"",IF('3. Year by Year'!$B$3="Smooth",IF('2. Results'!$C$35="Both claim at 62",INDEX(ENG_S1_BASE!$BT$2:$BT$42,$A45+1),IF('2. Results'!$C$35="Both claim at 67",INDEX(ENG_S2_BASE!$BT$2:$BT$42,$A45+1),INDEX(ENG_S3_BASE!$BT$2:$BT$42,$A45+1))),IF('2. Results'!$C$35="Both claim at 62",INDEX(ENG_S1_STRESS!$BT$2:$BT$42,$A45+1),IF('2. Results'!$C$35="Both claim at 67",INDEX(ENG_S2_STRESS!$BT$2:$BT$42,$A45+1),INDEX(ENG_S3_STRESS!$BT$2:$BT$42,$A45+1)))))</f>
        <v/>
      </c>
      <c r="M45" s="47">
        <f>IF(Tables!$B$13+$A45&gt;Tables!$B$18,"",IF('3. Year by Year'!$B$3="Smooth",IF('2. Results'!$C$35="Both claim at 62",INDEX(ENG_S1_BASE!$BX$2:$BX$42,$A45+1),IF('2. Results'!$C$35="Both claim at 67",INDEX(ENG_S2_BASE!$BX$2:$BX$42,$A45+1),INDEX(ENG_S3_BASE!$BX$2:$BX$42,$A45+1))),IF('2. Results'!$C$35="Both claim at 62",INDEX(ENG_S1_STRESS!$BX$2:$BX$42,$A45+1),IF('2. Results'!$C$35="Both claim at 67",INDEX(ENG_S2_STRESS!$BX$2:$BX$42,$A45+1),INDEX(ENG_S3_STRESS!$BX$2:$BX$42,$A45+1)))))</f>
        <v/>
      </c>
      <c r="N45" s="47">
        <f>IF(Tables!$B$13+$A45&gt;Tables!$B$18,"",IF('3. Year by Year'!$B$3="Smooth",IF('2. Results'!$C$35="Both claim at 62",INDEX(ENG_S1_BASE!$BY$2:$BY$42,$A45+1),IF('2. Results'!$C$35="Both claim at 67",INDEX(ENG_S2_BASE!$BY$2:$BY$42,$A45+1),INDEX(ENG_S3_BASE!$BY$2:$BY$42,$A45+1))),IF('2. Results'!$C$35="Both claim at 62",INDEX(ENG_S1_STRESS!$BY$2:$BY$42,$A45+1),IF('2. Results'!$C$35="Both claim at 67",INDEX(ENG_S2_STRESS!$BY$2:$BY$42,$A45+1),INDEX(ENG_S3_STRESS!$BY$2:$BY$42,$A45+1)))))</f>
        <v/>
      </c>
      <c r="O45" s="47">
        <f>IF(Tables!$B$13+$A45&gt;Tables!$B$18,"",IF('3. Year by Year'!$B$3="Smooth",IF('2. Results'!$C$35="Both claim at 62",INDEX(ENG_S1_BASE!$BZ$2:$BZ$42,$A45+1),IF('2. Results'!$C$35="Both claim at 67",INDEX(ENG_S2_BASE!$BZ$2:$BZ$42,$A45+1),INDEX(ENG_S3_BASE!$BZ$2:$BZ$42,$A45+1))),IF('2. Results'!$C$35="Both claim at 62",INDEX(ENG_S1_STRESS!$BZ$2:$BZ$42,$A45+1),IF('2. Results'!$C$35="Both claim at 67",INDEX(ENG_S2_STRESS!$BZ$2:$BZ$42,$A45+1),INDEX(ENG_S3_STRESS!$BZ$2:$BZ$42,$A45+1)))))</f>
        <v/>
      </c>
      <c r="P45" s="47">
        <f>IF(Tables!$B$13+$A45&gt;Tables!$B$18,"",IF('3. Year by Year'!$B$3="Smooth",IF('2. Results'!$C$35="Both claim at 62",INDEX(ENG_S1_BASE!$CA$2:$CA$42,$A45+1),IF('2. Results'!$C$35="Both claim at 67",INDEX(ENG_S2_BASE!$CA$2:$CA$42,$A45+1),INDEX(ENG_S3_BASE!$CA$2:$CA$42,$A45+1))),IF('2. Results'!$C$35="Both claim at 62",INDEX(ENG_S1_STRESS!$CA$2:$CA$42,$A45+1),IF('2. Results'!$C$35="Both claim at 67",INDEX(ENG_S2_STRESS!$CA$2:$CA$42,$A45+1),INDEX(ENG_S3_STRESS!$CA$2:$CA$42,$A45+1)))))</f>
        <v/>
      </c>
      <c r="Q45" s="47">
        <f>IF(Tables!$B$13+$A45&gt;Tables!$B$18,"",IF('3. Year by Year'!$B$3="Smooth",IF('2. Results'!$C$35="Both claim at 62",INDEX(ENG_S1_BASE!$CB$2:$CB$42,$A45+1),IF('2. Results'!$C$35="Both claim at 67",INDEX(ENG_S2_BASE!$CB$2:$CB$42,$A45+1),INDEX(ENG_S3_BASE!$CB$2:$CB$42,$A45+1))),IF('2. Results'!$C$35="Both claim at 62",INDEX(ENG_S1_STRESS!$CB$2:$CB$42,$A45+1),IF('2. Results'!$C$35="Both claim at 67",INDEX(ENG_S2_STRESS!$CB$2:$CB$42,$A45+1),INDEX(ENG_S3_STRESS!$CB$2:$CB$42,$A45+1)))))</f>
        <v/>
      </c>
      <c r="R45" s="47">
        <f>IF(Tables!$B$13+$A45&gt;Tables!$B$18,"",IF('3. Year by Year'!$B$3="Smooth",IF('2. Results'!$C$35="Both claim at 62",INDEX(ENG_S1_BASE!$CC$2:$CC$42,$A45+1),IF('2. Results'!$C$35="Both claim at 67",INDEX(ENG_S2_BASE!$CC$2:$CC$42,$A45+1),INDEX(ENG_S3_BASE!$CC$2:$CC$42,$A45+1))),IF('2. Results'!$C$35="Both claim at 62",INDEX(ENG_S1_STRESS!$CC$2:$CC$42,$A45+1),IF('2. Results'!$C$35="Both claim at 67",INDEX(ENG_S2_STRESS!$CC$2:$CC$42,$A45+1),INDEX(ENG_S3_STRESS!$CC$2:$CC$42,$A45+1)))))</f>
        <v/>
      </c>
    </row>
    <row r="46">
      <c r="A46" s="43" t="n">
        <v>40</v>
      </c>
      <c r="B46" s="51">
        <f>IF(Tables!$B$13+$A46&gt;Tables!$B$18,"",Tables!$B$14+$A46)</f>
        <v/>
      </c>
      <c r="C46" s="51">
        <f>IF(Tables!$B$13+$A46&gt;Tables!$B$18,"",Tables!$B$13+$A46)</f>
        <v/>
      </c>
      <c r="D46" s="55">
        <f>IF(Tables!$B$13+$A46&gt;Tables!$B$18,"",IF('3. Year by Year'!$B$3="Smooth",IF('2. Results'!$C$35="Both claim at 62",INDEX(ENG_S1_BASE!$D$2:$D$42,$A46+1),IF('2. Results'!$C$35="Both claim at 67",INDEX(ENG_S2_BASE!$D$2:$D$42,$A46+1),INDEX(ENG_S3_BASE!$D$2:$D$42,$A46+1))),IF('2. Results'!$C$35="Both claim at 62",INDEX(ENG_S1_STRESS!$D$2:$D$42,$A46+1),IF('2. Results'!$C$35="Both claim at 67",INDEX(ENG_S2_STRESS!$D$2:$D$42,$A46+1),INDEX(ENG_S3_STRESS!$D$2:$D$42,$A46+1)))))</f>
        <v/>
      </c>
      <c r="E46" s="50">
        <f>IF(Tables!$B$13+$A46&gt;Tables!$B$18,"",IF('3. Year by Year'!$B$3="Smooth",IF('2. Results'!$C$35="Both claim at 62",INDEX(ENG_S1_BASE!$G$2:$G$42,$A46+1),IF('2. Results'!$C$35="Both claim at 67",INDEX(ENG_S2_BASE!$G$2:$G$42,$A46+1),INDEX(ENG_S3_BASE!$G$2:$G$42,$A46+1))),IF('2. Results'!$C$35="Both claim at 62",INDEX(ENG_S1_STRESS!$G$2:$G$42,$A46+1),IF('2. Results'!$C$35="Both claim at 67",INDEX(ENG_S2_STRESS!$G$2:$G$42,$A46+1),INDEX(ENG_S3_STRESS!$G$2:$G$42,$A46+1)))))</f>
        <v/>
      </c>
      <c r="F46" s="50">
        <f>IF(Tables!$B$13+$A46&gt;Tables!$B$18,"",IF('3. Year by Year'!$B$3="Smooth",IF('2. Results'!$C$35="Both claim at 62",INDEX(ENG_S1_BASE!$H$2:$H$42,$A46+1),IF('2. Results'!$C$35="Both claim at 67",INDEX(ENG_S2_BASE!$H$2:$H$42,$A46+1),INDEX(ENG_S3_BASE!$H$2:$H$42,$A46+1))),IF('2. Results'!$C$35="Both claim at 62",INDEX(ENG_S1_STRESS!$H$2:$H$42,$A46+1),IF('2. Results'!$C$35="Both claim at 67",INDEX(ENG_S2_STRESS!$H$2:$H$42,$A46+1),INDEX(ENG_S3_STRESS!$H$2:$H$42,$A46+1)))))</f>
        <v/>
      </c>
      <c r="G46" s="50">
        <f>IF(Tables!$B$13+$A46&gt;Tables!$B$18,"",IF('3. Year by Year'!$B$3="Smooth",IF('2. Results'!$C$35="Both claim at 62",INDEX(ENG_S1_BASE!$L$2:$L$42,$A46+1),IF('2. Results'!$C$35="Both claim at 67",INDEX(ENG_S2_BASE!$L$2:$L$42,$A46+1),INDEX(ENG_S3_BASE!$L$2:$L$42,$A46+1))),IF('2. Results'!$C$35="Both claim at 62",INDEX(ENG_S1_STRESS!$L$2:$L$42,$A46+1),IF('2. Results'!$C$35="Both claim at 67",INDEX(ENG_S2_STRESS!$L$2:$L$42,$A46+1),INDEX(ENG_S3_STRESS!$L$2:$L$42,$A46+1)))))</f>
        <v/>
      </c>
      <c r="H46" s="50">
        <f>IF(Tables!$B$13+$A46&gt;Tables!$B$18,"",IF('3. Year by Year'!$B$3="Smooth",IF('2. Results'!$C$35="Both claim at 62",INDEX(ENG_S1_BASE!$BQ$2:$BQ$42,$A46+1),IF('2. Results'!$C$35="Both claim at 67",INDEX(ENG_S2_BASE!$BQ$2:$BQ$42,$A46+1),INDEX(ENG_S3_BASE!$BQ$2:$BQ$42,$A46+1))),IF('2. Results'!$C$35="Both claim at 62",INDEX(ENG_S1_STRESS!$BQ$2:$BQ$42,$A46+1),IF('2. Results'!$C$35="Both claim at 67",INDEX(ENG_S2_STRESS!$BQ$2:$BQ$42,$A46+1),INDEX(ENG_S3_STRESS!$BQ$2:$BQ$42,$A46+1)))))</f>
        <v/>
      </c>
      <c r="I46" s="50">
        <f>IF(Tables!$B$13+$A46&gt;Tables!$B$18,"",IF('3. Year by Year'!$B$3="Smooth",IF('2. Results'!$C$35="Both claim at 62",INDEX(ENG_S1_BASE!$Q$2:$Q$42,$A46+1),IF('2. Results'!$C$35="Both claim at 67",INDEX(ENG_S2_BASE!$Q$2:$Q$42,$A46+1),INDEX(ENG_S3_BASE!$Q$2:$Q$42,$A46+1))),IF('2. Results'!$C$35="Both claim at 62",INDEX(ENG_S1_STRESS!$Q$2:$Q$42,$A46+1),IF('2. Results'!$C$35="Both claim at 67",INDEX(ENG_S2_STRESS!$Q$2:$Q$42,$A46+1),INDEX(ENG_S3_STRESS!$Q$2:$Q$42,$A46+1)))))</f>
        <v/>
      </c>
      <c r="J46" s="50">
        <f>IF(Tables!$B$13+$A46&gt;Tables!$B$18,"",IF('3. Year by Year'!$B$3="Smooth",IF('2. Results'!$C$35="Both claim at 62",INDEX(ENG_S1_BASE!$BV$2:$BV$42,$A46+1),IF('2. Results'!$C$35="Both claim at 67",INDEX(ENG_S2_BASE!$BV$2:$BV$42,$A46+1),INDEX(ENG_S3_BASE!$BV$2:$BV$42,$A46+1))),IF('2. Results'!$C$35="Both claim at 62",INDEX(ENG_S1_STRESS!$BV$2:$BV$42,$A46+1),IF('2. Results'!$C$35="Both claim at 67",INDEX(ENG_S2_STRESS!$BV$2:$BV$42,$A46+1),INDEX(ENG_S3_STRESS!$BV$2:$BV$42,$A46+1)))))</f>
        <v/>
      </c>
      <c r="K46" s="50">
        <f>IF(Tables!$B$13+$A46&gt;Tables!$B$18,"",IF('3. Year by Year'!$B$3="Smooth",IF('2. Results'!$C$35="Both claim at 62",INDEX(ENG_S1_BASE!$BR$2:$BR$42,$A46+1),IF('2. Results'!$C$35="Both claim at 67",INDEX(ENG_S2_BASE!$BR$2:$BR$42,$A46+1),INDEX(ENG_S3_BASE!$BR$2:$BR$42,$A46+1))),IF('2. Results'!$C$35="Both claim at 62",INDEX(ENG_S1_STRESS!$BR$2:$BR$42,$A46+1),IF('2. Results'!$C$35="Both claim at 67",INDEX(ENG_S2_STRESS!$BR$2:$BR$42,$A46+1),INDEX(ENG_S3_STRESS!$BR$2:$BR$42,$A46+1)))))</f>
        <v/>
      </c>
      <c r="L46" s="50">
        <f>IF(Tables!$B$13+$A46&gt;Tables!$B$18,"",IF('3. Year by Year'!$B$3="Smooth",IF('2. Results'!$C$35="Both claim at 62",INDEX(ENG_S1_BASE!$BT$2:$BT$42,$A46+1),IF('2. Results'!$C$35="Both claim at 67",INDEX(ENG_S2_BASE!$BT$2:$BT$42,$A46+1),INDEX(ENG_S3_BASE!$BT$2:$BT$42,$A46+1))),IF('2. Results'!$C$35="Both claim at 62",INDEX(ENG_S1_STRESS!$BT$2:$BT$42,$A46+1),IF('2. Results'!$C$35="Both claim at 67",INDEX(ENG_S2_STRESS!$BT$2:$BT$42,$A46+1),INDEX(ENG_S3_STRESS!$BT$2:$BT$42,$A46+1)))))</f>
        <v/>
      </c>
      <c r="M46" s="50">
        <f>IF(Tables!$B$13+$A46&gt;Tables!$B$18,"",IF('3. Year by Year'!$B$3="Smooth",IF('2. Results'!$C$35="Both claim at 62",INDEX(ENG_S1_BASE!$BX$2:$BX$42,$A46+1),IF('2. Results'!$C$35="Both claim at 67",INDEX(ENG_S2_BASE!$BX$2:$BX$42,$A46+1),INDEX(ENG_S3_BASE!$BX$2:$BX$42,$A46+1))),IF('2. Results'!$C$35="Both claim at 62",INDEX(ENG_S1_STRESS!$BX$2:$BX$42,$A46+1),IF('2. Results'!$C$35="Both claim at 67",INDEX(ENG_S2_STRESS!$BX$2:$BX$42,$A46+1),INDEX(ENG_S3_STRESS!$BX$2:$BX$42,$A46+1)))))</f>
        <v/>
      </c>
      <c r="N46" s="50">
        <f>IF(Tables!$B$13+$A46&gt;Tables!$B$18,"",IF('3. Year by Year'!$B$3="Smooth",IF('2. Results'!$C$35="Both claim at 62",INDEX(ENG_S1_BASE!$BY$2:$BY$42,$A46+1),IF('2. Results'!$C$35="Both claim at 67",INDEX(ENG_S2_BASE!$BY$2:$BY$42,$A46+1),INDEX(ENG_S3_BASE!$BY$2:$BY$42,$A46+1))),IF('2. Results'!$C$35="Both claim at 62",INDEX(ENG_S1_STRESS!$BY$2:$BY$42,$A46+1),IF('2. Results'!$C$35="Both claim at 67",INDEX(ENG_S2_STRESS!$BY$2:$BY$42,$A46+1),INDEX(ENG_S3_STRESS!$BY$2:$BY$42,$A46+1)))))</f>
        <v/>
      </c>
      <c r="O46" s="50">
        <f>IF(Tables!$B$13+$A46&gt;Tables!$B$18,"",IF('3. Year by Year'!$B$3="Smooth",IF('2. Results'!$C$35="Both claim at 62",INDEX(ENG_S1_BASE!$BZ$2:$BZ$42,$A46+1),IF('2. Results'!$C$35="Both claim at 67",INDEX(ENG_S2_BASE!$BZ$2:$BZ$42,$A46+1),INDEX(ENG_S3_BASE!$BZ$2:$BZ$42,$A46+1))),IF('2. Results'!$C$35="Both claim at 62",INDEX(ENG_S1_STRESS!$BZ$2:$BZ$42,$A46+1),IF('2. Results'!$C$35="Both claim at 67",INDEX(ENG_S2_STRESS!$BZ$2:$BZ$42,$A46+1),INDEX(ENG_S3_STRESS!$BZ$2:$BZ$42,$A46+1)))))</f>
        <v/>
      </c>
      <c r="P46" s="50">
        <f>IF(Tables!$B$13+$A46&gt;Tables!$B$18,"",IF('3. Year by Year'!$B$3="Smooth",IF('2. Results'!$C$35="Both claim at 62",INDEX(ENG_S1_BASE!$CA$2:$CA$42,$A46+1),IF('2. Results'!$C$35="Both claim at 67",INDEX(ENG_S2_BASE!$CA$2:$CA$42,$A46+1),INDEX(ENG_S3_BASE!$CA$2:$CA$42,$A46+1))),IF('2. Results'!$C$35="Both claim at 62",INDEX(ENG_S1_STRESS!$CA$2:$CA$42,$A46+1),IF('2. Results'!$C$35="Both claim at 67",INDEX(ENG_S2_STRESS!$CA$2:$CA$42,$A46+1),INDEX(ENG_S3_STRESS!$CA$2:$CA$42,$A46+1)))))</f>
        <v/>
      </c>
      <c r="Q46" s="50">
        <f>IF(Tables!$B$13+$A46&gt;Tables!$B$18,"",IF('3. Year by Year'!$B$3="Smooth",IF('2. Results'!$C$35="Both claim at 62",INDEX(ENG_S1_BASE!$CB$2:$CB$42,$A46+1),IF('2. Results'!$C$35="Both claim at 67",INDEX(ENG_S2_BASE!$CB$2:$CB$42,$A46+1),INDEX(ENG_S3_BASE!$CB$2:$CB$42,$A46+1))),IF('2. Results'!$C$35="Both claim at 62",INDEX(ENG_S1_STRESS!$CB$2:$CB$42,$A46+1),IF('2. Results'!$C$35="Both claim at 67",INDEX(ENG_S2_STRESS!$CB$2:$CB$42,$A46+1),INDEX(ENG_S3_STRESS!$CB$2:$CB$42,$A46+1)))))</f>
        <v/>
      </c>
      <c r="R46" s="50">
        <f>IF(Tables!$B$13+$A46&gt;Tables!$B$18,"",IF('3. Year by Year'!$B$3="Smooth",IF('2. Results'!$C$35="Both claim at 62",INDEX(ENG_S1_BASE!$CC$2:$CC$42,$A46+1),IF('2. Results'!$C$35="Both claim at 67",INDEX(ENG_S2_BASE!$CC$2:$CC$42,$A46+1),INDEX(ENG_S3_BASE!$CC$2:$CC$42,$A46+1))),IF('2. Results'!$C$35="Both claim at 62",INDEX(ENG_S1_STRESS!$CC$2:$CC$42,$A46+1),IF('2. Results'!$C$35="Both claim at 67",INDEX(ENG_S2_STRESS!$CC$2:$CC$42,$A46+1),INDEX(ENG_S3_STRESS!$CC$2:$CC$42,$A46+1)))))</f>
        <v/>
      </c>
    </row>
    <row r="47">
      <c r="A47" s="2" t="n"/>
      <c r="B47" s="2" t="n"/>
      <c r="C47" s="2" t="n"/>
      <c r="D47" s="2" t="n"/>
      <c r="E47" s="2" t="n"/>
      <c r="F47" s="2" t="n"/>
      <c r="G47" s="2" t="n"/>
      <c r="H47" s="2" t="n"/>
      <c r="I47" s="2" t="n"/>
      <c r="J47" s="2" t="n"/>
      <c r="K47" s="2" t="n"/>
      <c r="L47" s="2" t="n"/>
      <c r="M47" s="2" t="n"/>
      <c r="N47" s="2" t="n"/>
      <c r="O47" s="2" t="n"/>
      <c r="P47" s="2" t="n"/>
      <c r="Q47" s="2" t="n"/>
      <c r="R47" s="2" t="n"/>
    </row>
  </sheetData>
  <sheetProtection selectLockedCells="0" selectUnlockedCells="0" sheet="1" objects="0" insertRows="1" insertHyperlinks="1" autoFilter="1" scenarios="0" formatColumns="0" deleteColumns="1" insertColumns="1" pivotTables="1" deleteRows="1" formatCells="0" formatRows="0" sort="1"/>
  <dataValidations count="1">
    <dataValidation sqref="B3" showDropDown="0" showInputMessage="0" showErrorMessage="0" allowBlank="0" type="list">
      <formula1>"Smooth,Stress"</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24"/>
  <sheetViews>
    <sheetView showGridLines="0" workbookViewId="0">
      <selection activeCell="A1" sqref="A1"/>
    </sheetView>
  </sheetViews>
  <sheetFormatPr baseColWidth="8" defaultRowHeight="15"/>
  <cols>
    <col width="3" customWidth="1" min="1" max="1"/>
    <col width="46" customWidth="1" min="2" max="2"/>
    <col width="16" customWidth="1" min="3" max="3"/>
    <col width="46" customWidth="1" min="4" max="4"/>
    <col width="3" customWidth="1" min="5" max="5"/>
  </cols>
  <sheetData>
    <row r="1" ht="30" customHeight="1">
      <c r="A1" s="17" t="inlineStr">
        <is>
          <t>EXAMPLE CASE — the worked example, pre-loaded</t>
        </is>
      </c>
      <c r="B1" s="1" t="n"/>
      <c r="C1" s="1" t="n"/>
      <c r="D1" s="1" t="n"/>
      <c r="E1" s="1" t="n"/>
    </row>
    <row r="2" ht="18" customHeight="1">
      <c r="A2" s="18" t="inlineStr">
        <is>
          <t>A FICTIONAL COMPOSITE · NOT A REAL HOUSEHOLD, NOT ADVICE</t>
        </is>
      </c>
      <c r="B2" s="1" t="n"/>
      <c r="C2" s="1" t="n"/>
      <c r="D2" s="1" t="n"/>
      <c r="E2" s="1" t="n"/>
    </row>
    <row r="3">
      <c r="A3" s="2" t="n"/>
      <c r="B3" s="2" t="n"/>
      <c r="C3" s="2" t="n"/>
      <c r="D3" s="2" t="n"/>
      <c r="E3" s="2" t="n"/>
    </row>
    <row r="4" ht="78" customHeight="1">
      <c r="A4" s="2" t="n"/>
      <c r="B4" s="7" t="inlineStr">
        <is>
          <t>Every tab opens on this worked example so you can see the method run before you type anything. It is a fictional composite couple — both 62, married, retiring this year with $840,000 across their accounts and $60,000 a year of lifestyle spending — put through a deliberately bad opening decade. Not a real person, not a recommendation.</t>
        </is>
      </c>
      <c r="C4" s="2" t="n"/>
      <c r="D4" s="2" t="n"/>
      <c r="E4" s="2" t="n"/>
    </row>
    <row r="5">
      <c r="A5" s="2" t="n"/>
      <c r="B5" s="2" t="n"/>
      <c r="C5" s="2" t="n"/>
      <c r="D5" s="2" t="n"/>
      <c r="E5" s="2" t="n"/>
    </row>
    <row r="6">
      <c r="A6" s="2" t="n"/>
      <c r="B6" s="8" t="inlineStr">
        <is>
          <t>THE EXAMPLE AT A GLANCE</t>
        </is>
      </c>
      <c r="C6" s="12" t="inlineStr">
        <is>
          <t>ASSUMPTION</t>
        </is>
      </c>
      <c r="D6" s="2" t="n"/>
      <c r="E6" s="2" t="n"/>
    </row>
    <row r="7">
      <c r="A7" s="2" t="n"/>
      <c r="B7" s="46" t="inlineStr">
        <is>
          <t>Both retire at</t>
        </is>
      </c>
      <c r="C7" s="57">
        <f>'1. Your Stress Test'!$C$24</f>
        <v/>
      </c>
      <c r="D7" s="58" t="inlineStr">
        <is>
          <t>Same-age couple, married filing jointly.</t>
        </is>
      </c>
      <c r="E7" s="2" t="n"/>
    </row>
    <row r="8">
      <c r="A8" s="2" t="n"/>
      <c r="B8" s="49" t="inlineStr">
        <is>
          <t>Traditional (pre-tax)</t>
        </is>
      </c>
      <c r="C8" s="59">
        <f>'1. Your Stress Test'!$C$7</f>
        <v/>
      </c>
      <c r="D8" s="27" t="inlineStr">
        <is>
          <t>Pre-tax IRA / 401(k) balances.</t>
        </is>
      </c>
      <c r="E8" s="2" t="n"/>
    </row>
    <row r="9">
      <c r="A9" s="2" t="n"/>
      <c r="B9" s="46" t="inlineStr">
        <is>
          <t>Roth accounts</t>
        </is>
      </c>
      <c r="C9" s="60">
        <f>'1. Your Stress Test'!$C$8</f>
        <v/>
      </c>
      <c r="D9" s="58" t="inlineStr">
        <is>
          <t>Qualified withdrawals modeled tax-free.</t>
        </is>
      </c>
      <c r="E9" s="2" t="n"/>
    </row>
    <row r="10">
      <c r="A10" s="2" t="n"/>
      <c r="B10" s="49" t="inlineStr">
        <is>
          <t>Taxable &amp; cash</t>
        </is>
      </c>
      <c r="C10" s="59">
        <f>'1. Your Stress Test'!$C$9</f>
        <v/>
      </c>
      <c r="D10" s="27" t="inlineStr">
        <is>
          <t>Rounds out the $840,000 investable total.</t>
        </is>
      </c>
      <c r="E10" s="2" t="n"/>
    </row>
    <row r="11">
      <c r="A11" s="2" t="n"/>
      <c r="B11" s="46" t="inlineStr">
        <is>
          <t>Lifestyle spending / year</t>
        </is>
      </c>
      <c r="C11" s="60">
        <f>'1. Your Stress Test'!$C$17</f>
        <v/>
      </c>
      <c r="D11" s="58" t="inlineStr">
        <is>
          <t>Everything except healthcare and federal tax.</t>
        </is>
      </c>
      <c r="E11" s="2" t="n"/>
    </row>
    <row r="12">
      <c r="A12" s="2" t="n"/>
      <c r="B12" s="49" t="inlineStr">
        <is>
          <t>Higher earner benefit (FRA, monthly)</t>
        </is>
      </c>
      <c r="C12" s="59">
        <f>'1. Your Stress Test'!$C$21</f>
        <v/>
      </c>
      <c r="D12" s="27" t="inlineStr">
        <is>
          <t>Person A on Your Stress Test.</t>
        </is>
      </c>
      <c r="E12" s="2" t="n"/>
    </row>
    <row r="13">
      <c r="A13" s="2" t="n"/>
      <c r="B13" s="46" t="inlineStr">
        <is>
          <t>Second benefit (FRA, monthly)</t>
        </is>
      </c>
      <c r="C13" s="60">
        <f>'1. Your Stress Test'!$C$22</f>
        <v/>
      </c>
      <c r="D13" s="58" t="inlineStr">
        <is>
          <t>Person B on Your Stress Test.</t>
        </is>
      </c>
      <c r="E13" s="2" t="n"/>
    </row>
    <row r="14">
      <c r="A14" s="2" t="n"/>
      <c r="B14" s="2" t="n"/>
      <c r="C14" s="2" t="n"/>
      <c r="D14" s="2" t="n"/>
      <c r="E14" s="2" t="n"/>
    </row>
    <row r="15">
      <c r="A15" s="2" t="n"/>
      <c r="B15" s="8" t="inlineStr">
        <is>
          <t>WHAT THE EXAMPLE SHOWS — THE $667 RULE</t>
        </is>
      </c>
      <c r="C15" s="2" t="n"/>
      <c r="D15" s="2" t="n"/>
      <c r="E15" s="2" t="n"/>
    </row>
    <row r="16" ht="60" customHeight="1">
      <c r="A16" s="2" t="n"/>
      <c r="B16" s="7" t="inlineStr">
        <is>
          <t>Hold the example's spending at $60,000 a year and the portfolio still has money at 95. Lift it to $68,000 — $667 a month — and the same plan runs out at 81. One monthly number moves the outcome more than the market does. Watch it recompute on 2. Results (ACTIVE CASE set to “Example case”) and in The $667 Rule one-pager.</t>
        </is>
      </c>
      <c r="C16" s="2" t="n"/>
      <c r="D16" s="2" t="n"/>
      <c r="E16" s="2" t="n"/>
    </row>
    <row r="17">
      <c r="A17" s="2" t="n"/>
      <c r="B17" s="2" t="n"/>
      <c r="C17" s="2" t="n"/>
      <c r="D17" s="2" t="n"/>
      <c r="E17" s="2" t="n"/>
    </row>
    <row r="18">
      <c r="A18" s="2" t="n"/>
      <c r="B18" s="2" t="n"/>
      <c r="C18" s="2" t="n"/>
      <c r="D18" s="2" t="n"/>
      <c r="E18" s="2" t="n"/>
    </row>
    <row r="19">
      <c r="A19" s="2" t="n"/>
      <c r="B19" s="8" t="inlineStr">
        <is>
          <t>MAKE IT YOURS</t>
        </is>
      </c>
      <c r="C19" s="2" t="n"/>
      <c r="D19" s="2" t="n"/>
      <c r="E19" s="2" t="n"/>
    </row>
    <row r="20" ht="48" customHeight="1">
      <c r="A20" s="2" t="n"/>
      <c r="B20" s="15" t="inlineStr">
        <is>
          <t>Open Your Stress Test, type your figures in the YOUR NUMBERS column, and switch ACTIVE CASE to “Your numbers.” Every result recomputes for your household. Any cell you leave blank keeps the example value, so nothing ever shows empty.</t>
        </is>
      </c>
      <c r="C20" s="2" t="n"/>
      <c r="D20" s="2" t="n"/>
      <c r="E20" s="2" t="n"/>
    </row>
    <row r="21">
      <c r="A21" s="2" t="n"/>
      <c r="B21" s="2" t="n"/>
      <c r="C21" s="2" t="n"/>
      <c r="D21" s="2" t="n"/>
      <c r="E21" s="2" t="n"/>
    </row>
    <row r="22">
      <c r="A22" s="2" t="n"/>
      <c r="B22" s="2" t="n"/>
      <c r="C22" s="2" t="n"/>
      <c r="D22" s="2" t="n"/>
      <c r="E22" s="2" t="n"/>
    </row>
    <row r="23" ht="40" customHeight="1">
      <c r="A23" s="2" t="n"/>
      <c r="B23" s="61" t="inlineStr">
        <is>
          <t>The example couple is a fictional composite. This workbook is education, not financial, tax, or investment advice. Model outputs are illustrations under stated assumptions, not forecasts. Federal tax only, 2026 rules held constant in real dollars.</t>
        </is>
      </c>
      <c r="C23" s="2" t="n"/>
      <c r="D23" s="2" t="n"/>
      <c r="E23" s="2" t="n"/>
    </row>
    <row r="24">
      <c r="A24" s="2" t="n"/>
      <c r="B24" s="2" t="n"/>
      <c r="C24" s="2" t="n"/>
      <c r="D24" s="2" t="n"/>
      <c r="E24" s="2" t="n"/>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6.xml><?xml version="1.0" encoding="utf-8"?>
<worksheet xmlns="http://schemas.openxmlformats.org/spreadsheetml/2006/main">
  <sheetPr>
    <tabColor rgb="00808080"/>
    <outlinePr summaryBelow="1" summaryRight="1"/>
    <pageSetUpPr/>
  </sheetPr>
  <dimension ref="A1:E123"/>
  <sheetViews>
    <sheetView showGridLines="0" workbookViewId="0">
      <selection activeCell="A1" sqref="A1"/>
    </sheetView>
  </sheetViews>
  <sheetFormatPr baseColWidth="8" defaultRowHeight="15"/>
  <cols>
    <col width="46" customWidth="1" min="1" max="1"/>
    <col width="16" customWidth="1" min="2" max="2"/>
    <col width="16" customWidth="1" min="3" max="3"/>
    <col width="16" customWidth="1" min="4" max="4"/>
    <col width="16" customWidth="1" min="5" max="5"/>
  </cols>
  <sheetData>
    <row r="1">
      <c r="A1" s="62" t="inlineStr">
        <is>
          <t>ENGINE CONSTANTS &amp; ACTIVE-CASE VALUES — do not edit (edit Your Stress Test instead)</t>
        </is>
      </c>
    </row>
    <row r="2">
      <c r="A2" s="63" t="inlineStr">
        <is>
          <t>Active case (follows the ACTIVE CASE selector; blank YOUR NUMBERS cells fall back to the example values)</t>
        </is>
      </c>
    </row>
    <row r="3">
      <c r="A3" s="64" t="inlineStr">
        <is>
          <t>Active · Traditional balance</t>
        </is>
      </c>
      <c r="B3" s="65">
        <f>IF('1. Your Stress Test'!$D$4="Your numbers",IF('1. Your Stress Test'!$D$7="",'1. Your Stress Test'!$C$7,'1. Your Stress Test'!$D$7),'1. Your Stress Test'!$C$7)</f>
        <v/>
      </c>
    </row>
    <row r="4">
      <c r="A4" s="64" t="inlineStr">
        <is>
          <t>Active · Roth balance</t>
        </is>
      </c>
      <c r="B4" s="65">
        <f>IF('1. Your Stress Test'!$D$4="Your numbers",IF('1. Your Stress Test'!$D$8="",'1. Your Stress Test'!$C$8,'1. Your Stress Test'!$D$8),'1. Your Stress Test'!$C$8)</f>
        <v/>
      </c>
    </row>
    <row r="5">
      <c r="A5" s="64" t="inlineStr">
        <is>
          <t>Active · Taxable &amp; cash</t>
        </is>
      </c>
      <c r="B5" s="65">
        <f>IF('1. Your Stress Test'!$D$4="Your numbers",IF('1. Your Stress Test'!$D$9="",'1. Your Stress Test'!$C$9,'1. Your Stress Test'!$D$9),'1. Your Stress Test'!$C$9)</f>
        <v/>
      </c>
    </row>
    <row r="6">
      <c r="A6" s="64" t="inlineStr">
        <is>
          <t>Active · Mortgage annual payment</t>
        </is>
      </c>
      <c r="B6" s="65">
        <f>IF('1. Your Stress Test'!$D$4="Your numbers",IF('1. Your Stress Test'!$D$14="",'1. Your Stress Test'!$C$14,'1. Your Stress Test'!$D$14),'1. Your Stress Test'!$C$14)</f>
        <v/>
      </c>
    </row>
    <row r="7">
      <c r="A7" s="64" t="inlineStr">
        <is>
          <t>Active · Mortgage ends at age</t>
        </is>
      </c>
      <c r="B7" s="66">
        <f>IF('1. Your Stress Test'!$D$4="Your numbers",IF('1. Your Stress Test'!$D$15="",'1. Your Stress Test'!$C$15,'1. Your Stress Test'!$D$15),'1. Your Stress Test'!$C$15)</f>
        <v/>
      </c>
    </row>
    <row r="8">
      <c r="A8" s="64" t="inlineStr">
        <is>
          <t>Active · Lifestyle spending</t>
        </is>
      </c>
      <c r="B8" s="65">
        <f>IF('1. Your Stress Test'!$D$4="Your numbers",IF('1. Your Stress Test'!$D$17="",'1. Your Stress Test'!$C$17,'1. Your Stress Test'!$D$17),'1. Your Stress Test'!$C$17)</f>
        <v/>
      </c>
    </row>
    <row r="9">
      <c r="A9" s="64" t="inlineStr">
        <is>
          <t>Active · Healthcare before Medicare</t>
        </is>
      </c>
      <c r="B9" s="65">
        <f>IF('1. Your Stress Test'!$D$4="Your numbers",IF('1. Your Stress Test'!$D$18="",'1. Your Stress Test'!$C$18,'1. Your Stress Test'!$D$18),'1. Your Stress Test'!$C$18)</f>
        <v/>
      </c>
    </row>
    <row r="10">
      <c r="A10" s="64" t="inlineStr">
        <is>
          <t>Active · Healthcare on Medicare</t>
        </is>
      </c>
      <c r="B10" s="65">
        <f>IF('1. Your Stress Test'!$D$4="Your numbers",IF('1. Your Stress Test'!$D$19="",'1. Your Stress Test'!$C$19,'1. Your Stress Test'!$D$19),'1. Your Stress Test'!$C$19)</f>
        <v/>
      </c>
    </row>
    <row r="11">
      <c r="A11" s="64" t="inlineStr">
        <is>
          <t>Active · Person A FRA monthly</t>
        </is>
      </c>
      <c r="B11" s="65">
        <f>IF('1. Your Stress Test'!$D$4="Your numbers",IF('1. Your Stress Test'!$D$21="",'1. Your Stress Test'!$C$21,'1. Your Stress Test'!$D$21),'1. Your Stress Test'!$C$21)</f>
        <v/>
      </c>
    </row>
    <row r="12">
      <c r="A12" s="64" t="inlineStr">
        <is>
          <t>Active · Person B FRA monthly</t>
        </is>
      </c>
      <c r="B12" s="65">
        <f>IF('1. Your Stress Test'!$D$4="Your numbers",IF('1. Your Stress Test'!$D$22="",'1. Your Stress Test'!$C$22,'1. Your Stress Test'!$D$22),'1. Your Stress Test'!$C$22)</f>
        <v/>
      </c>
    </row>
    <row r="13">
      <c r="A13" s="64" t="inlineStr">
        <is>
          <t>Active · Start age</t>
        </is>
      </c>
      <c r="B13" s="66">
        <f>IF('1. Your Stress Test'!$D$4="Your numbers",IF('1. Your Stress Test'!$D$24="",'1. Your Stress Test'!$C$24,'1. Your Stress Test'!$D$24),'1. Your Stress Test'!$C$24)</f>
        <v/>
      </c>
    </row>
    <row r="14">
      <c r="A14" s="64" t="inlineStr">
        <is>
          <t>Active · Start calendar year</t>
        </is>
      </c>
      <c r="B14" s="66">
        <f>IF('1. Your Stress Test'!$D$4="Your numbers",IF('1. Your Stress Test'!$D$25="",'1. Your Stress Test'!$C$25,'1. Your Stress Test'!$D$25),'1. Your Stress Test'!$C$25)</f>
        <v/>
      </c>
    </row>
    <row r="15">
      <c r="A15" s="64" t="inlineStr">
        <is>
          <t>Active · Guardrail cut</t>
        </is>
      </c>
      <c r="B15" s="65">
        <f>IF('1. Your Stress Test'!$D$4="Your numbers",IF('1. Your Stress Test'!$D$29="",'1. Your Stress Test'!$C$29,'1. Your Stress Test'!$D$29),'1. Your Stress Test'!$C$29)</f>
        <v/>
      </c>
    </row>
    <row r="16">
      <c r="A16" s="64" t="inlineStr">
        <is>
          <t>Active · Guardrail trigger (return below)</t>
        </is>
      </c>
      <c r="B16" s="67">
        <f>IF('1. Your Stress Test'!$D$4="Your numbers",IF('1. Your Stress Test'!$D$30="",'1. Your Stress Test'!$C$30,'1. Your Stress Test'!$D$30),'1. Your Stress Test'!$C$30)</f>
        <v/>
      </c>
    </row>
    <row r="17">
      <c r="A17" s="64" t="inlineStr">
        <is>
          <t>Guardrail toggle (from Your Stress Test)</t>
        </is>
      </c>
      <c r="B17" s="66">
        <f>'1. Your Stress Test'!$D$28</f>
        <v/>
      </c>
    </row>
    <row r="18">
      <c r="A18" s="64" t="inlineStr">
        <is>
          <t>Horizon age (fixed this edition)</t>
        </is>
      </c>
      <c r="B18" s="66" t="n">
        <v>95</v>
      </c>
      <c r="C18" s="12" t="inlineStr">
        <is>
          <t>ASSUMPTION</t>
        </is>
      </c>
    </row>
    <row r="19">
      <c r="A19" s="64" t="inlineStr">
        <is>
          <t>RMD start age (born 1960 or later)</t>
        </is>
      </c>
      <c r="B19" s="66" t="n">
        <v>75</v>
      </c>
      <c r="C19" s="11" t="inlineStr">
        <is>
          <t>FACT</t>
        </is>
      </c>
    </row>
    <row r="21">
      <c r="A21" s="66" t="inlineStr">
        <is>
          <t>2026 federal tax constants (married filing jointly)</t>
        </is>
      </c>
    </row>
    <row r="22">
      <c r="A22" s="64" t="inlineStr">
        <is>
          <t>Standard deduction (MFJ, 2026)</t>
        </is>
      </c>
      <c r="B22" s="65" t="n">
        <v>32200</v>
      </c>
      <c r="C22" s="11" t="inlineStr">
        <is>
          <t>FACT</t>
        </is>
      </c>
    </row>
    <row r="23">
      <c r="A23" s="64" t="inlineStr">
        <is>
          <t>Additional standard deduction 65+ (each)</t>
        </is>
      </c>
      <c r="B23" s="65" t="n">
        <v>1650</v>
      </c>
      <c r="C23" s="11" t="inlineStr">
        <is>
          <t>FACT</t>
        </is>
      </c>
    </row>
    <row r="24">
      <c r="A24" s="64" t="inlineStr">
        <is>
          <t>Social Security taxability base (MFJ)</t>
        </is>
      </c>
      <c r="B24" s="65" t="n">
        <v>32000</v>
      </c>
      <c r="C24" s="11" t="inlineStr">
        <is>
          <t>FACT</t>
        </is>
      </c>
    </row>
    <row r="25">
      <c r="A25" s="64" t="inlineStr">
        <is>
          <t>Social Security second threshold (MFJ)</t>
        </is>
      </c>
      <c r="B25" s="65" t="n">
        <v>44000</v>
      </c>
      <c r="C25" s="11" t="inlineStr">
        <is>
          <t>FACT</t>
        </is>
      </c>
    </row>
    <row r="26">
      <c r="A26" s="64" t="inlineStr">
        <is>
          <t>Worksheet cap add-on</t>
        </is>
      </c>
      <c r="B26" s="65" t="n">
        <v>6000</v>
      </c>
      <c r="C26" s="11" t="inlineStr">
        <is>
          <t>FACT</t>
        </is>
      </c>
    </row>
    <row r="27">
      <c r="A27" s="64" t="inlineStr">
        <is>
          <t>Medicare / additional-deduction age</t>
        </is>
      </c>
      <c r="B27" s="66" t="n">
        <v>65</v>
      </c>
      <c r="C27" s="11" t="inlineStr">
        <is>
          <t>FACT</t>
        </is>
      </c>
    </row>
    <row r="29">
      <c r="A29" s="66" t="inlineStr">
        <is>
          <t>2026 MFJ ordinary brackets — marginal layout for SUMPRODUCT</t>
        </is>
      </c>
      <c r="D29" s="11" t="inlineStr">
        <is>
          <t>FACT</t>
        </is>
      </c>
    </row>
    <row r="30">
      <c r="A30" s="68" t="inlineStr">
        <is>
          <t>Taxable income above</t>
        </is>
      </c>
      <c r="B30" s="68" t="inlineStr">
        <is>
          <t>Bracket rate</t>
        </is>
      </c>
      <c r="C30" s="68" t="inlineStr">
        <is>
          <t>Marginal delta</t>
        </is>
      </c>
    </row>
    <row r="31">
      <c r="A31" s="69" t="n">
        <v>0</v>
      </c>
      <c r="B31" s="70" t="n">
        <v>0.1</v>
      </c>
      <c r="C31" t="n">
        <v>0.1</v>
      </c>
    </row>
    <row r="32">
      <c r="A32" s="69" t="n">
        <v>24800</v>
      </c>
      <c r="B32" s="70" t="n">
        <v>0.12</v>
      </c>
      <c r="C32" t="n">
        <v>0.01999999999999999</v>
      </c>
    </row>
    <row r="33">
      <c r="A33" s="69" t="n">
        <v>100800</v>
      </c>
      <c r="B33" s="70" t="n">
        <v>0.22</v>
      </c>
      <c r="C33" t="n">
        <v>0.1</v>
      </c>
    </row>
    <row r="34">
      <c r="A34" s="69" t="n">
        <v>211400</v>
      </c>
      <c r="B34" s="70" t="n">
        <v>0.24</v>
      </c>
      <c r="C34" t="n">
        <v>0.01999999999999999</v>
      </c>
    </row>
    <row r="35">
      <c r="A35" s="69" t="n">
        <v>403550</v>
      </c>
      <c r="B35" s="70" t="n">
        <v>0.32</v>
      </c>
      <c r="C35" t="n">
        <v>0.08000000000000002</v>
      </c>
    </row>
    <row r="36">
      <c r="A36" s="69" t="n">
        <v>512450</v>
      </c>
      <c r="B36" s="70" t="n">
        <v>0.35</v>
      </c>
      <c r="C36" t="n">
        <v>0.02999999999999997</v>
      </c>
    </row>
    <row r="37">
      <c r="A37" s="69" t="n">
        <v>768700</v>
      </c>
      <c r="B37" s="70" t="n">
        <v>0.37</v>
      </c>
      <c r="C37" t="n">
        <v>0.02000000000000002</v>
      </c>
    </row>
    <row r="39">
      <c r="A39" s="66" t="inlineStr">
        <is>
          <t>IRS Uniform Lifetime Table divisors (Publication 590-B)</t>
        </is>
      </c>
      <c r="D39" s="11" t="inlineStr">
        <is>
          <t>FACT</t>
        </is>
      </c>
    </row>
    <row r="40">
      <c r="A40" s="68" t="inlineStr">
        <is>
          <t>Age</t>
        </is>
      </c>
      <c r="B40" s="68" t="inlineStr">
        <is>
          <t>Divisor</t>
        </is>
      </c>
    </row>
    <row r="41">
      <c r="A41" t="n">
        <v>75</v>
      </c>
      <c r="B41" t="n">
        <v>24.6</v>
      </c>
    </row>
    <row r="42">
      <c r="A42" t="n">
        <v>76</v>
      </c>
      <c r="B42" t="n">
        <v>23.7</v>
      </c>
    </row>
    <row r="43">
      <c r="A43" t="n">
        <v>77</v>
      </c>
      <c r="B43" t="n">
        <v>22.9</v>
      </c>
    </row>
    <row r="44">
      <c r="A44" t="n">
        <v>78</v>
      </c>
      <c r="B44" t="n">
        <v>22</v>
      </c>
    </row>
    <row r="45">
      <c r="A45" t="n">
        <v>79</v>
      </c>
      <c r="B45" t="n">
        <v>21.1</v>
      </c>
    </row>
    <row r="46">
      <c r="A46" t="n">
        <v>80</v>
      </c>
      <c r="B46" t="n">
        <v>20.2</v>
      </c>
    </row>
    <row r="47">
      <c r="A47" t="n">
        <v>81</v>
      </c>
      <c r="B47" t="n">
        <v>19.4</v>
      </c>
    </row>
    <row r="48">
      <c r="A48" t="n">
        <v>82</v>
      </c>
      <c r="B48" t="n">
        <v>18.5</v>
      </c>
    </row>
    <row r="49">
      <c r="A49" t="n">
        <v>83</v>
      </c>
      <c r="B49" t="n">
        <v>17.7</v>
      </c>
    </row>
    <row r="50">
      <c r="A50" t="n">
        <v>84</v>
      </c>
      <c r="B50" t="n">
        <v>16.8</v>
      </c>
    </row>
    <row r="51">
      <c r="A51" t="n">
        <v>85</v>
      </c>
      <c r="B51" t="n">
        <v>16</v>
      </c>
    </row>
    <row r="52">
      <c r="A52" t="n">
        <v>86</v>
      </c>
      <c r="B52" t="n">
        <v>15.2</v>
      </c>
    </row>
    <row r="53">
      <c r="A53" t="n">
        <v>87</v>
      </c>
      <c r="B53" t="n">
        <v>14.4</v>
      </c>
    </row>
    <row r="54">
      <c r="A54" t="n">
        <v>88</v>
      </c>
      <c r="B54" t="n">
        <v>13.7</v>
      </c>
    </row>
    <row r="55">
      <c r="A55" t="n">
        <v>89</v>
      </c>
      <c r="B55" t="n">
        <v>12.9</v>
      </c>
    </row>
    <row r="56">
      <c r="A56" t="n">
        <v>90</v>
      </c>
      <c r="B56" t="n">
        <v>12.2</v>
      </c>
    </row>
    <row r="57">
      <c r="A57" t="n">
        <v>91</v>
      </c>
      <c r="B57" t="n">
        <v>11.5</v>
      </c>
    </row>
    <row r="58">
      <c r="A58" t="n">
        <v>92</v>
      </c>
      <c r="B58" t="n">
        <v>10.8</v>
      </c>
    </row>
    <row r="59">
      <c r="A59" t="n">
        <v>93</v>
      </c>
      <c r="B59" t="n">
        <v>10.1</v>
      </c>
    </row>
    <row r="60">
      <c r="A60" t="n">
        <v>94</v>
      </c>
      <c r="B60" t="n">
        <v>9.5</v>
      </c>
    </row>
    <row r="61">
      <c r="A61" t="n">
        <v>95</v>
      </c>
      <c r="B61" t="n">
        <v>8.9</v>
      </c>
    </row>
    <row r="63">
      <c r="A63" s="66" t="inlineStr">
        <is>
          <t>Social Security claim-age multiplier (FRA 67, born 1960 or later)</t>
        </is>
      </c>
      <c r="D63" s="11" t="inlineStr">
        <is>
          <t>FACT</t>
        </is>
      </c>
    </row>
    <row r="64">
      <c r="A64" s="68" t="inlineStr">
        <is>
          <t>Claim age</t>
        </is>
      </c>
      <c r="B64" s="68" t="inlineStr">
        <is>
          <t>× FRA benefit</t>
        </is>
      </c>
    </row>
    <row r="65">
      <c r="A65" t="n">
        <v>62</v>
      </c>
      <c r="B65" t="n">
        <v>0.7</v>
      </c>
    </row>
    <row r="66">
      <c r="A66" t="n">
        <v>63</v>
      </c>
      <c r="B66" t="n">
        <v>0.75</v>
      </c>
    </row>
    <row r="67">
      <c r="A67" t="n">
        <v>64</v>
      </c>
      <c r="B67" t="n">
        <v>0.8</v>
      </c>
    </row>
    <row r="68">
      <c r="A68" t="n">
        <v>65</v>
      </c>
      <c r="B68" t="n">
        <v>0.8666666666666667</v>
      </c>
    </row>
    <row r="69">
      <c r="A69" t="n">
        <v>66</v>
      </c>
      <c r="B69" t="n">
        <v>0.9333333333333333</v>
      </c>
    </row>
    <row r="70">
      <c r="A70" t="n">
        <v>67</v>
      </c>
      <c r="B70" t="n">
        <v>1</v>
      </c>
    </row>
    <row r="71">
      <c r="A71" t="n">
        <v>68</v>
      </c>
      <c r="B71" t="n">
        <v>1.08</v>
      </c>
    </row>
    <row r="72">
      <c r="A72" t="n">
        <v>69</v>
      </c>
      <c r="B72" t="n">
        <v>1.16</v>
      </c>
    </row>
    <row r="73">
      <c r="A73" t="n">
        <v>70</v>
      </c>
      <c r="B73" t="n">
        <v>1.24</v>
      </c>
    </row>
    <row r="75">
      <c r="A75" s="66" t="inlineStr">
        <is>
          <t>Claiming strategies (Person A = higher earner)</t>
        </is>
      </c>
    </row>
    <row r="76">
      <c r="A76" s="68" t="inlineStr">
        <is>
          <t>Strategy</t>
        </is>
      </c>
      <c r="B76" s="68" t="inlineStr">
        <is>
          <t>A claims at</t>
        </is>
      </c>
      <c r="C76" s="68" t="inlineStr">
        <is>
          <t>B claims at</t>
        </is>
      </c>
      <c r="D76" s="68" t="inlineStr">
        <is>
          <t>A annual benefit</t>
        </is>
      </c>
      <c r="E76" s="68" t="inlineStr">
        <is>
          <t>B annual benefit</t>
        </is>
      </c>
    </row>
    <row r="77">
      <c r="A77" s="64" t="inlineStr">
        <is>
          <t>Both claim at 62</t>
        </is>
      </c>
      <c r="B77" t="n">
        <v>62</v>
      </c>
      <c r="C77" t="n">
        <v>62</v>
      </c>
      <c r="D77" s="71">
        <f>Tables!$B$11*12*VLOOKUP($B$77,Tables!$A$65:$B$73,2,FALSE)</f>
        <v/>
      </c>
      <c r="E77" s="71">
        <f>Tables!$B$12*12*VLOOKUP($C$77,Tables!$A$65:$B$73,2,FALSE)</f>
        <v/>
      </c>
    </row>
    <row r="78">
      <c r="A78" s="64" t="inlineStr">
        <is>
          <t>Both claim at 67</t>
        </is>
      </c>
      <c r="B78" t="n">
        <v>67</v>
      </c>
      <c r="C78" t="n">
        <v>67</v>
      </c>
      <c r="D78" s="71">
        <f>Tables!$B$11*12*VLOOKUP($B$78,Tables!$A$65:$B$73,2,FALSE)</f>
        <v/>
      </c>
      <c r="E78" s="71">
        <f>Tables!$B$12*12*VLOOKUP($C$78,Tables!$A$65:$B$73,2,FALSE)</f>
        <v/>
      </c>
    </row>
    <row r="79">
      <c r="A79" s="64" t="inlineStr">
        <is>
          <t>A delays to 70 · B claims at 62</t>
        </is>
      </c>
      <c r="B79" t="n">
        <v>70</v>
      </c>
      <c r="C79" t="n">
        <v>62</v>
      </c>
      <c r="D79" s="71">
        <f>Tables!$B$11*12*VLOOKUP($B$79,Tables!$A$65:$B$73,2,FALSE)</f>
        <v/>
      </c>
      <c r="E79" s="71">
        <f>Tables!$B$12*12*VLOOKUP($C$79,Tables!$A$65:$B$73,2,FALSE)</f>
        <v/>
      </c>
    </row>
    <row r="81">
      <c r="A81" s="66" t="inlineStr">
        <is>
          <t>Return paths (real, net of fees) — ASSUMPTION: a smooth 3% path and a deliberately bad opening sequence</t>
        </is>
      </c>
      <c r="D81" s="12" t="inlineStr">
        <is>
          <t>ASSUMPTION</t>
        </is>
      </c>
    </row>
    <row r="82">
      <c r="A82" s="68" t="inlineStr">
        <is>
          <t>Year index</t>
        </is>
      </c>
      <c r="B82" s="68" t="inlineStr">
        <is>
          <t>Smooth path</t>
        </is>
      </c>
      <c r="C82" s="68" t="inlineStr">
        <is>
          <t>Stress path</t>
        </is>
      </c>
    </row>
    <row r="83">
      <c r="A83" t="n">
        <v>0</v>
      </c>
      <c r="B83" s="70" t="n">
        <v>0.03</v>
      </c>
      <c r="C83" s="70" t="n">
        <v>-0.2</v>
      </c>
    </row>
    <row r="84">
      <c r="A84" t="n">
        <v>1</v>
      </c>
      <c r="B84" s="70" t="n">
        <v>0.03</v>
      </c>
      <c r="C84" s="70" t="n">
        <v>-0.08</v>
      </c>
    </row>
    <row r="85">
      <c r="A85" t="n">
        <v>2</v>
      </c>
      <c r="B85" s="70" t="n">
        <v>0.03</v>
      </c>
      <c r="C85" s="70" t="n">
        <v>0.02</v>
      </c>
    </row>
    <row r="86">
      <c r="A86" t="n">
        <v>3</v>
      </c>
      <c r="B86" s="70" t="n">
        <v>0.03</v>
      </c>
      <c r="C86" s="70" t="n">
        <v>0.05</v>
      </c>
    </row>
    <row r="87">
      <c r="A87" t="n">
        <v>4</v>
      </c>
      <c r="B87" s="70" t="n">
        <v>0.03</v>
      </c>
      <c r="C87" s="70" t="n">
        <v>0.07000000000000001</v>
      </c>
    </row>
    <row r="88">
      <c r="A88" t="n">
        <v>5</v>
      </c>
      <c r="B88" s="70" t="n">
        <v>0.03</v>
      </c>
      <c r="C88" s="70" t="n">
        <v>0.03</v>
      </c>
    </row>
    <row r="89">
      <c r="A89" t="n">
        <v>6</v>
      </c>
      <c r="B89" s="70" t="n">
        <v>0.03</v>
      </c>
      <c r="C89" s="70" t="n">
        <v>0.03</v>
      </c>
    </row>
    <row r="90">
      <c r="A90" t="n">
        <v>7</v>
      </c>
      <c r="B90" s="70" t="n">
        <v>0.03</v>
      </c>
      <c r="C90" s="70" t="n">
        <v>0.03</v>
      </c>
    </row>
    <row r="91">
      <c r="A91" t="n">
        <v>8</v>
      </c>
      <c r="B91" s="70" t="n">
        <v>0.03</v>
      </c>
      <c r="C91" s="70" t="n">
        <v>0.03</v>
      </c>
    </row>
    <row r="92">
      <c r="A92" t="n">
        <v>9</v>
      </c>
      <c r="B92" s="70" t="n">
        <v>0.03</v>
      </c>
      <c r="C92" s="70" t="n">
        <v>0.03</v>
      </c>
    </row>
    <row r="93">
      <c r="A93" t="n">
        <v>10</v>
      </c>
      <c r="B93" s="70" t="n">
        <v>0.03</v>
      </c>
      <c r="C93" s="70" t="n">
        <v>0.03</v>
      </c>
    </row>
    <row r="94">
      <c r="A94" t="n">
        <v>11</v>
      </c>
      <c r="B94" s="70" t="n">
        <v>0.03</v>
      </c>
      <c r="C94" s="70" t="n">
        <v>0.03</v>
      </c>
    </row>
    <row r="95">
      <c r="A95" t="n">
        <v>12</v>
      </c>
      <c r="B95" s="70" t="n">
        <v>0.03</v>
      </c>
      <c r="C95" s="70" t="n">
        <v>0.03</v>
      </c>
    </row>
    <row r="96">
      <c r="A96" t="n">
        <v>13</v>
      </c>
      <c r="B96" s="70" t="n">
        <v>0.03</v>
      </c>
      <c r="C96" s="70" t="n">
        <v>0.03</v>
      </c>
    </row>
    <row r="97">
      <c r="A97" t="n">
        <v>14</v>
      </c>
      <c r="B97" s="70" t="n">
        <v>0.03</v>
      </c>
      <c r="C97" s="70" t="n">
        <v>0.03</v>
      </c>
    </row>
    <row r="98">
      <c r="A98" t="n">
        <v>15</v>
      </c>
      <c r="B98" s="70" t="n">
        <v>0.03</v>
      </c>
      <c r="C98" s="70" t="n">
        <v>0.03</v>
      </c>
    </row>
    <row r="99">
      <c r="A99" t="n">
        <v>16</v>
      </c>
      <c r="B99" s="70" t="n">
        <v>0.03</v>
      </c>
      <c r="C99" s="70" t="n">
        <v>0.03</v>
      </c>
    </row>
    <row r="100">
      <c r="A100" t="n">
        <v>17</v>
      </c>
      <c r="B100" s="70" t="n">
        <v>0.03</v>
      </c>
      <c r="C100" s="70" t="n">
        <v>0.03</v>
      </c>
    </row>
    <row r="101">
      <c r="A101" t="n">
        <v>18</v>
      </c>
      <c r="B101" s="70" t="n">
        <v>0.03</v>
      </c>
      <c r="C101" s="70" t="n">
        <v>0.03</v>
      </c>
    </row>
    <row r="102">
      <c r="A102" t="n">
        <v>19</v>
      </c>
      <c r="B102" s="70" t="n">
        <v>0.03</v>
      </c>
      <c r="C102" s="70" t="n">
        <v>0.03</v>
      </c>
    </row>
    <row r="103">
      <c r="A103" t="n">
        <v>20</v>
      </c>
      <c r="B103" s="70" t="n">
        <v>0.03</v>
      </c>
      <c r="C103" s="70" t="n">
        <v>0.03</v>
      </c>
    </row>
    <row r="104">
      <c r="A104" t="n">
        <v>21</v>
      </c>
      <c r="B104" s="70" t="n">
        <v>0.03</v>
      </c>
      <c r="C104" s="70" t="n">
        <v>0.03</v>
      </c>
    </row>
    <row r="105">
      <c r="A105" t="n">
        <v>22</v>
      </c>
      <c r="B105" s="70" t="n">
        <v>0.03</v>
      </c>
      <c r="C105" s="70" t="n">
        <v>0.03</v>
      </c>
    </row>
    <row r="106">
      <c r="A106" t="n">
        <v>23</v>
      </c>
      <c r="B106" s="70" t="n">
        <v>0.03</v>
      </c>
      <c r="C106" s="70" t="n">
        <v>0.03</v>
      </c>
    </row>
    <row r="107">
      <c r="A107" t="n">
        <v>24</v>
      </c>
      <c r="B107" s="70" t="n">
        <v>0.03</v>
      </c>
      <c r="C107" s="70" t="n">
        <v>0.03</v>
      </c>
    </row>
    <row r="108">
      <c r="A108" t="n">
        <v>25</v>
      </c>
      <c r="B108" s="70" t="n">
        <v>0.03</v>
      </c>
      <c r="C108" s="70" t="n">
        <v>0.03</v>
      </c>
    </row>
    <row r="109">
      <c r="A109" t="n">
        <v>26</v>
      </c>
      <c r="B109" s="70" t="n">
        <v>0.03</v>
      </c>
      <c r="C109" s="70" t="n">
        <v>0.03</v>
      </c>
    </row>
    <row r="110">
      <c r="A110" t="n">
        <v>27</v>
      </c>
      <c r="B110" s="70" t="n">
        <v>0.03</v>
      </c>
      <c r="C110" s="70" t="n">
        <v>0.03</v>
      </c>
    </row>
    <row r="111">
      <c r="A111" t="n">
        <v>28</v>
      </c>
      <c r="B111" s="70" t="n">
        <v>0.03</v>
      </c>
      <c r="C111" s="70" t="n">
        <v>0.03</v>
      </c>
    </row>
    <row r="112">
      <c r="A112" t="n">
        <v>29</v>
      </c>
      <c r="B112" s="70" t="n">
        <v>0.03</v>
      </c>
      <c r="C112" s="70" t="n">
        <v>0.03</v>
      </c>
    </row>
    <row r="113">
      <c r="A113" t="n">
        <v>30</v>
      </c>
      <c r="B113" s="70" t="n">
        <v>0.03</v>
      </c>
      <c r="C113" s="70" t="n">
        <v>0.03</v>
      </c>
    </row>
    <row r="114">
      <c r="A114" t="n">
        <v>31</v>
      </c>
      <c r="B114" s="70" t="n">
        <v>0.03</v>
      </c>
      <c r="C114" s="70" t="n">
        <v>0.03</v>
      </c>
    </row>
    <row r="115">
      <c r="A115" t="n">
        <v>32</v>
      </c>
      <c r="B115" s="70" t="n">
        <v>0.03</v>
      </c>
      <c r="C115" s="70" t="n">
        <v>0.03</v>
      </c>
    </row>
    <row r="116">
      <c r="A116" t="n">
        <v>33</v>
      </c>
      <c r="B116" s="70" t="n">
        <v>0.03</v>
      </c>
      <c r="C116" s="70" t="n">
        <v>0.03</v>
      </c>
    </row>
    <row r="117">
      <c r="A117" t="n">
        <v>34</v>
      </c>
      <c r="B117" s="70" t="n">
        <v>0.03</v>
      </c>
      <c r="C117" s="70" t="n">
        <v>0.03</v>
      </c>
    </row>
    <row r="118">
      <c r="A118" t="n">
        <v>35</v>
      </c>
      <c r="B118" s="70" t="n">
        <v>0.03</v>
      </c>
      <c r="C118" s="70" t="n">
        <v>0.03</v>
      </c>
    </row>
    <row r="119">
      <c r="A119" t="n">
        <v>36</v>
      </c>
      <c r="B119" s="70" t="n">
        <v>0.03</v>
      </c>
      <c r="C119" s="70" t="n">
        <v>0.03</v>
      </c>
    </row>
    <row r="120">
      <c r="A120" t="n">
        <v>37</v>
      </c>
      <c r="B120" s="70" t="n">
        <v>0.03</v>
      </c>
      <c r="C120" s="70" t="n">
        <v>0.03</v>
      </c>
    </row>
    <row r="121">
      <c r="A121" t="n">
        <v>38</v>
      </c>
      <c r="B121" s="70" t="n">
        <v>0.03</v>
      </c>
      <c r="C121" s="70" t="n">
        <v>0.03</v>
      </c>
    </row>
    <row r="122">
      <c r="A122" t="n">
        <v>39</v>
      </c>
      <c r="B122" s="70" t="n">
        <v>0.03</v>
      </c>
      <c r="C122" s="70" t="n">
        <v>0.03</v>
      </c>
    </row>
    <row r="123">
      <c r="A123" t="n">
        <v>40</v>
      </c>
      <c r="B123" s="70" t="n">
        <v>0.03</v>
      </c>
      <c r="C123" s="70" t="n">
        <v>0.03</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7.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INDEX(Tables!$B$83:$B$123,A2+1)</f>
        <v/>
      </c>
      <c r="E2">
        <f>IF(A2=0,0,INDEX(Tables!$B$83:$B$123,A2))</f>
        <v/>
      </c>
      <c r="F2">
        <f>IF(AND(C2=1,Tables!$B$17="YES",A2&gt;0,E2&lt;Tables!$B$16),Tables!$B$15,0)</f>
        <v/>
      </c>
      <c r="G2">
        <f>IF(C2=0,0,Tables!$B$8-IF(B2&gt;=Tables!$B$7,Tables!$B$6,0)+IF(B2&lt;Tables!$B$27,Tables!$B$9,Tables!$B$10)-F2)</f>
        <v/>
      </c>
      <c r="H2">
        <f>IF(C2=0,0,IF(B2&gt;=Tables!$B$77,Tables!$D$77,0)+IF(B2&gt;=Tables!$C$77,Tables!$E$77,0))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INDEX(Tables!$B$83:$B$123,A3+1)</f>
        <v/>
      </c>
      <c r="E3">
        <f>IF(A3=0,0,INDEX(Tables!$B$83:$B$123,A3))</f>
        <v/>
      </c>
      <c r="F3">
        <f>IF(AND(C3=1,Tables!$B$17="YES",A3&gt;0,E3&lt;Tables!$B$16),Tables!$B$15,0)</f>
        <v/>
      </c>
      <c r="G3">
        <f>IF(C3=0,0,Tables!$B$8-IF(B3&gt;=Tables!$B$7,Tables!$B$6,0)+IF(B3&lt;Tables!$B$27,Tables!$B$9,Tables!$B$10)-F3)</f>
        <v/>
      </c>
      <c r="H3">
        <f>IF(C3=0,0,IF(B3&gt;=Tables!$B$77,Tables!$D$77,0)+IF(B3&gt;=Tables!$C$77,Tables!$E$77,0))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INDEX(Tables!$B$83:$B$123,A4+1)</f>
        <v/>
      </c>
      <c r="E4">
        <f>IF(A4=0,0,INDEX(Tables!$B$83:$B$123,A4))</f>
        <v/>
      </c>
      <c r="F4">
        <f>IF(AND(C4=1,Tables!$B$17="YES",A4&gt;0,E4&lt;Tables!$B$16),Tables!$B$15,0)</f>
        <v/>
      </c>
      <c r="G4">
        <f>IF(C4=0,0,Tables!$B$8-IF(B4&gt;=Tables!$B$7,Tables!$B$6,0)+IF(B4&lt;Tables!$B$27,Tables!$B$9,Tables!$B$10)-F4)</f>
        <v/>
      </c>
      <c r="H4">
        <f>IF(C4=0,0,IF(B4&gt;=Tables!$B$77,Tables!$D$77,0)+IF(B4&gt;=Tables!$C$77,Tables!$E$77,0))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INDEX(Tables!$B$83:$B$123,A5+1)</f>
        <v/>
      </c>
      <c r="E5">
        <f>IF(A5=0,0,INDEX(Tables!$B$83:$B$123,A5))</f>
        <v/>
      </c>
      <c r="F5">
        <f>IF(AND(C5=1,Tables!$B$17="YES",A5&gt;0,E5&lt;Tables!$B$16),Tables!$B$15,0)</f>
        <v/>
      </c>
      <c r="G5">
        <f>IF(C5=0,0,Tables!$B$8-IF(B5&gt;=Tables!$B$7,Tables!$B$6,0)+IF(B5&lt;Tables!$B$27,Tables!$B$9,Tables!$B$10)-F5)</f>
        <v/>
      </c>
      <c r="H5">
        <f>IF(C5=0,0,IF(B5&gt;=Tables!$B$77,Tables!$D$77,0)+IF(B5&gt;=Tables!$C$77,Tables!$E$77,0))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INDEX(Tables!$B$83:$B$123,A6+1)</f>
        <v/>
      </c>
      <c r="E6">
        <f>IF(A6=0,0,INDEX(Tables!$B$83:$B$123,A6))</f>
        <v/>
      </c>
      <c r="F6">
        <f>IF(AND(C6=1,Tables!$B$17="YES",A6&gt;0,E6&lt;Tables!$B$16),Tables!$B$15,0)</f>
        <v/>
      </c>
      <c r="G6">
        <f>IF(C6=0,0,Tables!$B$8-IF(B6&gt;=Tables!$B$7,Tables!$B$6,0)+IF(B6&lt;Tables!$B$27,Tables!$B$9,Tables!$B$10)-F6)</f>
        <v/>
      </c>
      <c r="H6">
        <f>IF(C6=0,0,IF(B6&gt;=Tables!$B$77,Tables!$D$77,0)+IF(B6&gt;=Tables!$C$77,Tables!$E$77,0))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INDEX(Tables!$B$83:$B$123,A7+1)</f>
        <v/>
      </c>
      <c r="E7">
        <f>IF(A7=0,0,INDEX(Tables!$B$83:$B$123,A7))</f>
        <v/>
      </c>
      <c r="F7">
        <f>IF(AND(C7=1,Tables!$B$17="YES",A7&gt;0,E7&lt;Tables!$B$16),Tables!$B$15,0)</f>
        <v/>
      </c>
      <c r="G7">
        <f>IF(C7=0,0,Tables!$B$8-IF(B7&gt;=Tables!$B$7,Tables!$B$6,0)+IF(B7&lt;Tables!$B$27,Tables!$B$9,Tables!$B$10)-F7)</f>
        <v/>
      </c>
      <c r="H7">
        <f>IF(C7=0,0,IF(B7&gt;=Tables!$B$77,Tables!$D$77,0)+IF(B7&gt;=Tables!$C$77,Tables!$E$77,0))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INDEX(Tables!$B$83:$B$123,A8+1)</f>
        <v/>
      </c>
      <c r="E8">
        <f>IF(A8=0,0,INDEX(Tables!$B$83:$B$123,A8))</f>
        <v/>
      </c>
      <c r="F8">
        <f>IF(AND(C8=1,Tables!$B$17="YES",A8&gt;0,E8&lt;Tables!$B$16),Tables!$B$15,0)</f>
        <v/>
      </c>
      <c r="G8">
        <f>IF(C8=0,0,Tables!$B$8-IF(B8&gt;=Tables!$B$7,Tables!$B$6,0)+IF(B8&lt;Tables!$B$27,Tables!$B$9,Tables!$B$10)-F8)</f>
        <v/>
      </c>
      <c r="H8">
        <f>IF(C8=0,0,IF(B8&gt;=Tables!$B$77,Tables!$D$77,0)+IF(B8&gt;=Tables!$C$77,Tables!$E$77,0))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INDEX(Tables!$B$83:$B$123,A9+1)</f>
        <v/>
      </c>
      <c r="E9">
        <f>IF(A9=0,0,INDEX(Tables!$B$83:$B$123,A9))</f>
        <v/>
      </c>
      <c r="F9">
        <f>IF(AND(C9=1,Tables!$B$17="YES",A9&gt;0,E9&lt;Tables!$B$16),Tables!$B$15,0)</f>
        <v/>
      </c>
      <c r="G9">
        <f>IF(C9=0,0,Tables!$B$8-IF(B9&gt;=Tables!$B$7,Tables!$B$6,0)+IF(B9&lt;Tables!$B$27,Tables!$B$9,Tables!$B$10)-F9)</f>
        <v/>
      </c>
      <c r="H9">
        <f>IF(C9=0,0,IF(B9&gt;=Tables!$B$77,Tables!$D$77,0)+IF(B9&gt;=Tables!$C$77,Tables!$E$77,0))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INDEX(Tables!$B$83:$B$123,A10+1)</f>
        <v/>
      </c>
      <c r="E10">
        <f>IF(A10=0,0,INDEX(Tables!$B$83:$B$123,A10))</f>
        <v/>
      </c>
      <c r="F10">
        <f>IF(AND(C10=1,Tables!$B$17="YES",A10&gt;0,E10&lt;Tables!$B$16),Tables!$B$15,0)</f>
        <v/>
      </c>
      <c r="G10">
        <f>IF(C10=0,0,Tables!$B$8-IF(B10&gt;=Tables!$B$7,Tables!$B$6,0)+IF(B10&lt;Tables!$B$27,Tables!$B$9,Tables!$B$10)-F10)</f>
        <v/>
      </c>
      <c r="H10">
        <f>IF(C10=0,0,IF(B10&gt;=Tables!$B$77,Tables!$D$77,0)+IF(B10&gt;=Tables!$C$77,Tables!$E$77,0))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INDEX(Tables!$B$83:$B$123,A11+1)</f>
        <v/>
      </c>
      <c r="E11">
        <f>IF(A11=0,0,INDEX(Tables!$B$83:$B$123,A11))</f>
        <v/>
      </c>
      <c r="F11">
        <f>IF(AND(C11=1,Tables!$B$17="YES",A11&gt;0,E11&lt;Tables!$B$16),Tables!$B$15,0)</f>
        <v/>
      </c>
      <c r="G11">
        <f>IF(C11=0,0,Tables!$B$8-IF(B11&gt;=Tables!$B$7,Tables!$B$6,0)+IF(B11&lt;Tables!$B$27,Tables!$B$9,Tables!$B$10)-F11)</f>
        <v/>
      </c>
      <c r="H11">
        <f>IF(C11=0,0,IF(B11&gt;=Tables!$B$77,Tables!$D$77,0)+IF(B11&gt;=Tables!$C$77,Tables!$E$77,0))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INDEX(Tables!$B$83:$B$123,A12+1)</f>
        <v/>
      </c>
      <c r="E12">
        <f>IF(A12=0,0,INDEX(Tables!$B$83:$B$123,A12))</f>
        <v/>
      </c>
      <c r="F12">
        <f>IF(AND(C12=1,Tables!$B$17="YES",A12&gt;0,E12&lt;Tables!$B$16),Tables!$B$15,0)</f>
        <v/>
      </c>
      <c r="G12">
        <f>IF(C12=0,0,Tables!$B$8-IF(B12&gt;=Tables!$B$7,Tables!$B$6,0)+IF(B12&lt;Tables!$B$27,Tables!$B$9,Tables!$B$10)-F12)</f>
        <v/>
      </c>
      <c r="H12">
        <f>IF(C12=0,0,IF(B12&gt;=Tables!$B$77,Tables!$D$77,0)+IF(B12&gt;=Tables!$C$77,Tables!$E$77,0))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INDEX(Tables!$B$83:$B$123,A13+1)</f>
        <v/>
      </c>
      <c r="E13">
        <f>IF(A13=0,0,INDEX(Tables!$B$83:$B$123,A13))</f>
        <v/>
      </c>
      <c r="F13">
        <f>IF(AND(C13=1,Tables!$B$17="YES",A13&gt;0,E13&lt;Tables!$B$16),Tables!$B$15,0)</f>
        <v/>
      </c>
      <c r="G13">
        <f>IF(C13=0,0,Tables!$B$8-IF(B13&gt;=Tables!$B$7,Tables!$B$6,0)+IF(B13&lt;Tables!$B$27,Tables!$B$9,Tables!$B$10)-F13)</f>
        <v/>
      </c>
      <c r="H13">
        <f>IF(C13=0,0,IF(B13&gt;=Tables!$B$77,Tables!$D$77,0)+IF(B13&gt;=Tables!$C$77,Tables!$E$77,0))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INDEX(Tables!$B$83:$B$123,A14+1)</f>
        <v/>
      </c>
      <c r="E14">
        <f>IF(A14=0,0,INDEX(Tables!$B$83:$B$123,A14))</f>
        <v/>
      </c>
      <c r="F14">
        <f>IF(AND(C14=1,Tables!$B$17="YES",A14&gt;0,E14&lt;Tables!$B$16),Tables!$B$15,0)</f>
        <v/>
      </c>
      <c r="G14">
        <f>IF(C14=0,0,Tables!$B$8-IF(B14&gt;=Tables!$B$7,Tables!$B$6,0)+IF(B14&lt;Tables!$B$27,Tables!$B$9,Tables!$B$10)-F14)</f>
        <v/>
      </c>
      <c r="H14">
        <f>IF(C14=0,0,IF(B14&gt;=Tables!$B$77,Tables!$D$77,0)+IF(B14&gt;=Tables!$C$77,Tables!$E$77,0))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INDEX(Tables!$B$83:$B$123,A15+1)</f>
        <v/>
      </c>
      <c r="E15">
        <f>IF(A15=0,0,INDEX(Tables!$B$83:$B$123,A15))</f>
        <v/>
      </c>
      <c r="F15">
        <f>IF(AND(C15=1,Tables!$B$17="YES",A15&gt;0,E15&lt;Tables!$B$16),Tables!$B$15,0)</f>
        <v/>
      </c>
      <c r="G15">
        <f>IF(C15=0,0,Tables!$B$8-IF(B15&gt;=Tables!$B$7,Tables!$B$6,0)+IF(B15&lt;Tables!$B$27,Tables!$B$9,Tables!$B$10)-F15)</f>
        <v/>
      </c>
      <c r="H15">
        <f>IF(C15=0,0,IF(B15&gt;=Tables!$B$77,Tables!$D$77,0)+IF(B15&gt;=Tables!$C$77,Tables!$E$77,0))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INDEX(Tables!$B$83:$B$123,A16+1)</f>
        <v/>
      </c>
      <c r="E16">
        <f>IF(A16=0,0,INDEX(Tables!$B$83:$B$123,A16))</f>
        <v/>
      </c>
      <c r="F16">
        <f>IF(AND(C16=1,Tables!$B$17="YES",A16&gt;0,E16&lt;Tables!$B$16),Tables!$B$15,0)</f>
        <v/>
      </c>
      <c r="G16">
        <f>IF(C16=0,0,Tables!$B$8-IF(B16&gt;=Tables!$B$7,Tables!$B$6,0)+IF(B16&lt;Tables!$B$27,Tables!$B$9,Tables!$B$10)-F16)</f>
        <v/>
      </c>
      <c r="H16">
        <f>IF(C16=0,0,IF(B16&gt;=Tables!$B$77,Tables!$D$77,0)+IF(B16&gt;=Tables!$C$77,Tables!$E$77,0))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INDEX(Tables!$B$83:$B$123,A17+1)</f>
        <v/>
      </c>
      <c r="E17">
        <f>IF(A17=0,0,INDEX(Tables!$B$83:$B$123,A17))</f>
        <v/>
      </c>
      <c r="F17">
        <f>IF(AND(C17=1,Tables!$B$17="YES",A17&gt;0,E17&lt;Tables!$B$16),Tables!$B$15,0)</f>
        <v/>
      </c>
      <c r="G17">
        <f>IF(C17=0,0,Tables!$B$8-IF(B17&gt;=Tables!$B$7,Tables!$B$6,0)+IF(B17&lt;Tables!$B$27,Tables!$B$9,Tables!$B$10)-F17)</f>
        <v/>
      </c>
      <c r="H17">
        <f>IF(C17=0,0,IF(B17&gt;=Tables!$B$77,Tables!$D$77,0)+IF(B17&gt;=Tables!$C$77,Tables!$E$77,0))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INDEX(Tables!$B$83:$B$123,A18+1)</f>
        <v/>
      </c>
      <c r="E18">
        <f>IF(A18=0,0,INDEX(Tables!$B$83:$B$123,A18))</f>
        <v/>
      </c>
      <c r="F18">
        <f>IF(AND(C18=1,Tables!$B$17="YES",A18&gt;0,E18&lt;Tables!$B$16),Tables!$B$15,0)</f>
        <v/>
      </c>
      <c r="G18">
        <f>IF(C18=0,0,Tables!$B$8-IF(B18&gt;=Tables!$B$7,Tables!$B$6,0)+IF(B18&lt;Tables!$B$27,Tables!$B$9,Tables!$B$10)-F18)</f>
        <v/>
      </c>
      <c r="H18">
        <f>IF(C18=0,0,IF(B18&gt;=Tables!$B$77,Tables!$D$77,0)+IF(B18&gt;=Tables!$C$77,Tables!$E$77,0))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INDEX(Tables!$B$83:$B$123,A19+1)</f>
        <v/>
      </c>
      <c r="E19">
        <f>IF(A19=0,0,INDEX(Tables!$B$83:$B$123,A19))</f>
        <v/>
      </c>
      <c r="F19">
        <f>IF(AND(C19=1,Tables!$B$17="YES",A19&gt;0,E19&lt;Tables!$B$16),Tables!$B$15,0)</f>
        <v/>
      </c>
      <c r="G19">
        <f>IF(C19=0,0,Tables!$B$8-IF(B19&gt;=Tables!$B$7,Tables!$B$6,0)+IF(B19&lt;Tables!$B$27,Tables!$B$9,Tables!$B$10)-F19)</f>
        <v/>
      </c>
      <c r="H19">
        <f>IF(C19=0,0,IF(B19&gt;=Tables!$B$77,Tables!$D$77,0)+IF(B19&gt;=Tables!$C$77,Tables!$E$77,0))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INDEX(Tables!$B$83:$B$123,A20+1)</f>
        <v/>
      </c>
      <c r="E20">
        <f>IF(A20=0,0,INDEX(Tables!$B$83:$B$123,A20))</f>
        <v/>
      </c>
      <c r="F20">
        <f>IF(AND(C20=1,Tables!$B$17="YES",A20&gt;0,E20&lt;Tables!$B$16),Tables!$B$15,0)</f>
        <v/>
      </c>
      <c r="G20">
        <f>IF(C20=0,0,Tables!$B$8-IF(B20&gt;=Tables!$B$7,Tables!$B$6,0)+IF(B20&lt;Tables!$B$27,Tables!$B$9,Tables!$B$10)-F20)</f>
        <v/>
      </c>
      <c r="H20">
        <f>IF(C20=0,0,IF(B20&gt;=Tables!$B$77,Tables!$D$77,0)+IF(B20&gt;=Tables!$C$77,Tables!$E$77,0))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INDEX(Tables!$B$83:$B$123,A21+1)</f>
        <v/>
      </c>
      <c r="E21">
        <f>IF(A21=0,0,INDEX(Tables!$B$83:$B$123,A21))</f>
        <v/>
      </c>
      <c r="F21">
        <f>IF(AND(C21=1,Tables!$B$17="YES",A21&gt;0,E21&lt;Tables!$B$16),Tables!$B$15,0)</f>
        <v/>
      </c>
      <c r="G21">
        <f>IF(C21=0,0,Tables!$B$8-IF(B21&gt;=Tables!$B$7,Tables!$B$6,0)+IF(B21&lt;Tables!$B$27,Tables!$B$9,Tables!$B$10)-F21)</f>
        <v/>
      </c>
      <c r="H21">
        <f>IF(C21=0,0,IF(B21&gt;=Tables!$B$77,Tables!$D$77,0)+IF(B21&gt;=Tables!$C$77,Tables!$E$77,0))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INDEX(Tables!$B$83:$B$123,A22+1)</f>
        <v/>
      </c>
      <c r="E22">
        <f>IF(A22=0,0,INDEX(Tables!$B$83:$B$123,A22))</f>
        <v/>
      </c>
      <c r="F22">
        <f>IF(AND(C22=1,Tables!$B$17="YES",A22&gt;0,E22&lt;Tables!$B$16),Tables!$B$15,0)</f>
        <v/>
      </c>
      <c r="G22">
        <f>IF(C22=0,0,Tables!$B$8-IF(B22&gt;=Tables!$B$7,Tables!$B$6,0)+IF(B22&lt;Tables!$B$27,Tables!$B$9,Tables!$B$10)-F22)</f>
        <v/>
      </c>
      <c r="H22">
        <f>IF(C22=0,0,IF(B22&gt;=Tables!$B$77,Tables!$D$77,0)+IF(B22&gt;=Tables!$C$77,Tables!$E$77,0))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INDEX(Tables!$B$83:$B$123,A23+1)</f>
        <v/>
      </c>
      <c r="E23">
        <f>IF(A23=0,0,INDEX(Tables!$B$83:$B$123,A23))</f>
        <v/>
      </c>
      <c r="F23">
        <f>IF(AND(C23=1,Tables!$B$17="YES",A23&gt;0,E23&lt;Tables!$B$16),Tables!$B$15,0)</f>
        <v/>
      </c>
      <c r="G23">
        <f>IF(C23=0,0,Tables!$B$8-IF(B23&gt;=Tables!$B$7,Tables!$B$6,0)+IF(B23&lt;Tables!$B$27,Tables!$B$9,Tables!$B$10)-F23)</f>
        <v/>
      </c>
      <c r="H23">
        <f>IF(C23=0,0,IF(B23&gt;=Tables!$B$77,Tables!$D$77,0)+IF(B23&gt;=Tables!$C$77,Tables!$E$77,0))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INDEX(Tables!$B$83:$B$123,A24+1)</f>
        <v/>
      </c>
      <c r="E24">
        <f>IF(A24=0,0,INDEX(Tables!$B$83:$B$123,A24))</f>
        <v/>
      </c>
      <c r="F24">
        <f>IF(AND(C24=1,Tables!$B$17="YES",A24&gt;0,E24&lt;Tables!$B$16),Tables!$B$15,0)</f>
        <v/>
      </c>
      <c r="G24">
        <f>IF(C24=0,0,Tables!$B$8-IF(B24&gt;=Tables!$B$7,Tables!$B$6,0)+IF(B24&lt;Tables!$B$27,Tables!$B$9,Tables!$B$10)-F24)</f>
        <v/>
      </c>
      <c r="H24">
        <f>IF(C24=0,0,IF(B24&gt;=Tables!$B$77,Tables!$D$77,0)+IF(B24&gt;=Tables!$C$77,Tables!$E$77,0))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INDEX(Tables!$B$83:$B$123,A25+1)</f>
        <v/>
      </c>
      <c r="E25">
        <f>IF(A25=0,0,INDEX(Tables!$B$83:$B$123,A25))</f>
        <v/>
      </c>
      <c r="F25">
        <f>IF(AND(C25=1,Tables!$B$17="YES",A25&gt;0,E25&lt;Tables!$B$16),Tables!$B$15,0)</f>
        <v/>
      </c>
      <c r="G25">
        <f>IF(C25=0,0,Tables!$B$8-IF(B25&gt;=Tables!$B$7,Tables!$B$6,0)+IF(B25&lt;Tables!$B$27,Tables!$B$9,Tables!$B$10)-F25)</f>
        <v/>
      </c>
      <c r="H25">
        <f>IF(C25=0,0,IF(B25&gt;=Tables!$B$77,Tables!$D$77,0)+IF(B25&gt;=Tables!$C$77,Tables!$E$77,0))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INDEX(Tables!$B$83:$B$123,A26+1)</f>
        <v/>
      </c>
      <c r="E26">
        <f>IF(A26=0,0,INDEX(Tables!$B$83:$B$123,A26))</f>
        <v/>
      </c>
      <c r="F26">
        <f>IF(AND(C26=1,Tables!$B$17="YES",A26&gt;0,E26&lt;Tables!$B$16),Tables!$B$15,0)</f>
        <v/>
      </c>
      <c r="G26">
        <f>IF(C26=0,0,Tables!$B$8-IF(B26&gt;=Tables!$B$7,Tables!$B$6,0)+IF(B26&lt;Tables!$B$27,Tables!$B$9,Tables!$B$10)-F26)</f>
        <v/>
      </c>
      <c r="H26">
        <f>IF(C26=0,0,IF(B26&gt;=Tables!$B$77,Tables!$D$77,0)+IF(B26&gt;=Tables!$C$77,Tables!$E$77,0))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INDEX(Tables!$B$83:$B$123,A27+1)</f>
        <v/>
      </c>
      <c r="E27">
        <f>IF(A27=0,0,INDEX(Tables!$B$83:$B$123,A27))</f>
        <v/>
      </c>
      <c r="F27">
        <f>IF(AND(C27=1,Tables!$B$17="YES",A27&gt;0,E27&lt;Tables!$B$16),Tables!$B$15,0)</f>
        <v/>
      </c>
      <c r="G27">
        <f>IF(C27=0,0,Tables!$B$8-IF(B27&gt;=Tables!$B$7,Tables!$B$6,0)+IF(B27&lt;Tables!$B$27,Tables!$B$9,Tables!$B$10)-F27)</f>
        <v/>
      </c>
      <c r="H27">
        <f>IF(C27=0,0,IF(B27&gt;=Tables!$B$77,Tables!$D$77,0)+IF(B27&gt;=Tables!$C$77,Tables!$E$77,0))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INDEX(Tables!$B$83:$B$123,A28+1)</f>
        <v/>
      </c>
      <c r="E28">
        <f>IF(A28=0,0,INDEX(Tables!$B$83:$B$123,A28))</f>
        <v/>
      </c>
      <c r="F28">
        <f>IF(AND(C28=1,Tables!$B$17="YES",A28&gt;0,E28&lt;Tables!$B$16),Tables!$B$15,0)</f>
        <v/>
      </c>
      <c r="G28">
        <f>IF(C28=0,0,Tables!$B$8-IF(B28&gt;=Tables!$B$7,Tables!$B$6,0)+IF(B28&lt;Tables!$B$27,Tables!$B$9,Tables!$B$10)-F28)</f>
        <v/>
      </c>
      <c r="H28">
        <f>IF(C28=0,0,IF(B28&gt;=Tables!$B$77,Tables!$D$77,0)+IF(B28&gt;=Tables!$C$77,Tables!$E$77,0))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INDEX(Tables!$B$83:$B$123,A29+1)</f>
        <v/>
      </c>
      <c r="E29">
        <f>IF(A29=0,0,INDEX(Tables!$B$83:$B$123,A29))</f>
        <v/>
      </c>
      <c r="F29">
        <f>IF(AND(C29=1,Tables!$B$17="YES",A29&gt;0,E29&lt;Tables!$B$16),Tables!$B$15,0)</f>
        <v/>
      </c>
      <c r="G29">
        <f>IF(C29=0,0,Tables!$B$8-IF(B29&gt;=Tables!$B$7,Tables!$B$6,0)+IF(B29&lt;Tables!$B$27,Tables!$B$9,Tables!$B$10)-F29)</f>
        <v/>
      </c>
      <c r="H29">
        <f>IF(C29=0,0,IF(B29&gt;=Tables!$B$77,Tables!$D$77,0)+IF(B29&gt;=Tables!$C$77,Tables!$E$77,0))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INDEX(Tables!$B$83:$B$123,A30+1)</f>
        <v/>
      </c>
      <c r="E30">
        <f>IF(A30=0,0,INDEX(Tables!$B$83:$B$123,A30))</f>
        <v/>
      </c>
      <c r="F30">
        <f>IF(AND(C30=1,Tables!$B$17="YES",A30&gt;0,E30&lt;Tables!$B$16),Tables!$B$15,0)</f>
        <v/>
      </c>
      <c r="G30">
        <f>IF(C30=0,0,Tables!$B$8-IF(B30&gt;=Tables!$B$7,Tables!$B$6,0)+IF(B30&lt;Tables!$B$27,Tables!$B$9,Tables!$B$10)-F30)</f>
        <v/>
      </c>
      <c r="H30">
        <f>IF(C30=0,0,IF(B30&gt;=Tables!$B$77,Tables!$D$77,0)+IF(B30&gt;=Tables!$C$77,Tables!$E$77,0))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INDEX(Tables!$B$83:$B$123,A31+1)</f>
        <v/>
      </c>
      <c r="E31">
        <f>IF(A31=0,0,INDEX(Tables!$B$83:$B$123,A31))</f>
        <v/>
      </c>
      <c r="F31">
        <f>IF(AND(C31=1,Tables!$B$17="YES",A31&gt;0,E31&lt;Tables!$B$16),Tables!$B$15,0)</f>
        <v/>
      </c>
      <c r="G31">
        <f>IF(C31=0,0,Tables!$B$8-IF(B31&gt;=Tables!$B$7,Tables!$B$6,0)+IF(B31&lt;Tables!$B$27,Tables!$B$9,Tables!$B$10)-F31)</f>
        <v/>
      </c>
      <c r="H31">
        <f>IF(C31=0,0,IF(B31&gt;=Tables!$B$77,Tables!$D$77,0)+IF(B31&gt;=Tables!$C$77,Tables!$E$77,0))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INDEX(Tables!$B$83:$B$123,A32+1)</f>
        <v/>
      </c>
      <c r="E32">
        <f>IF(A32=0,0,INDEX(Tables!$B$83:$B$123,A32))</f>
        <v/>
      </c>
      <c r="F32">
        <f>IF(AND(C32=1,Tables!$B$17="YES",A32&gt;0,E32&lt;Tables!$B$16),Tables!$B$15,0)</f>
        <v/>
      </c>
      <c r="G32">
        <f>IF(C32=0,0,Tables!$B$8-IF(B32&gt;=Tables!$B$7,Tables!$B$6,0)+IF(B32&lt;Tables!$B$27,Tables!$B$9,Tables!$B$10)-F32)</f>
        <v/>
      </c>
      <c r="H32">
        <f>IF(C32=0,0,IF(B32&gt;=Tables!$B$77,Tables!$D$77,0)+IF(B32&gt;=Tables!$C$77,Tables!$E$77,0))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INDEX(Tables!$B$83:$B$123,A33+1)</f>
        <v/>
      </c>
      <c r="E33">
        <f>IF(A33=0,0,INDEX(Tables!$B$83:$B$123,A33))</f>
        <v/>
      </c>
      <c r="F33">
        <f>IF(AND(C33=1,Tables!$B$17="YES",A33&gt;0,E33&lt;Tables!$B$16),Tables!$B$15,0)</f>
        <v/>
      </c>
      <c r="G33">
        <f>IF(C33=0,0,Tables!$B$8-IF(B33&gt;=Tables!$B$7,Tables!$B$6,0)+IF(B33&lt;Tables!$B$27,Tables!$B$9,Tables!$B$10)-F33)</f>
        <v/>
      </c>
      <c r="H33">
        <f>IF(C33=0,0,IF(B33&gt;=Tables!$B$77,Tables!$D$77,0)+IF(B33&gt;=Tables!$C$77,Tables!$E$77,0))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INDEX(Tables!$B$83:$B$123,A34+1)</f>
        <v/>
      </c>
      <c r="E34">
        <f>IF(A34=0,0,INDEX(Tables!$B$83:$B$123,A34))</f>
        <v/>
      </c>
      <c r="F34">
        <f>IF(AND(C34=1,Tables!$B$17="YES",A34&gt;0,E34&lt;Tables!$B$16),Tables!$B$15,0)</f>
        <v/>
      </c>
      <c r="G34">
        <f>IF(C34=0,0,Tables!$B$8-IF(B34&gt;=Tables!$B$7,Tables!$B$6,0)+IF(B34&lt;Tables!$B$27,Tables!$B$9,Tables!$B$10)-F34)</f>
        <v/>
      </c>
      <c r="H34">
        <f>IF(C34=0,0,IF(B34&gt;=Tables!$B$77,Tables!$D$77,0)+IF(B34&gt;=Tables!$C$77,Tables!$E$77,0))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INDEX(Tables!$B$83:$B$123,A35+1)</f>
        <v/>
      </c>
      <c r="E35">
        <f>IF(A35=0,0,INDEX(Tables!$B$83:$B$123,A35))</f>
        <v/>
      </c>
      <c r="F35">
        <f>IF(AND(C35=1,Tables!$B$17="YES",A35&gt;0,E35&lt;Tables!$B$16),Tables!$B$15,0)</f>
        <v/>
      </c>
      <c r="G35">
        <f>IF(C35=0,0,Tables!$B$8-IF(B35&gt;=Tables!$B$7,Tables!$B$6,0)+IF(B35&lt;Tables!$B$27,Tables!$B$9,Tables!$B$10)-F35)</f>
        <v/>
      </c>
      <c r="H35">
        <f>IF(C35=0,0,IF(B35&gt;=Tables!$B$77,Tables!$D$77,0)+IF(B35&gt;=Tables!$C$77,Tables!$E$77,0))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INDEX(Tables!$B$83:$B$123,A36+1)</f>
        <v/>
      </c>
      <c r="E36">
        <f>IF(A36=0,0,INDEX(Tables!$B$83:$B$123,A36))</f>
        <v/>
      </c>
      <c r="F36">
        <f>IF(AND(C36=1,Tables!$B$17="YES",A36&gt;0,E36&lt;Tables!$B$16),Tables!$B$15,0)</f>
        <v/>
      </c>
      <c r="G36">
        <f>IF(C36=0,0,Tables!$B$8-IF(B36&gt;=Tables!$B$7,Tables!$B$6,0)+IF(B36&lt;Tables!$B$27,Tables!$B$9,Tables!$B$10)-F36)</f>
        <v/>
      </c>
      <c r="H36">
        <f>IF(C36=0,0,IF(B36&gt;=Tables!$B$77,Tables!$D$77,0)+IF(B36&gt;=Tables!$C$77,Tables!$E$77,0))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INDEX(Tables!$B$83:$B$123,A37+1)</f>
        <v/>
      </c>
      <c r="E37">
        <f>IF(A37=0,0,INDEX(Tables!$B$83:$B$123,A37))</f>
        <v/>
      </c>
      <c r="F37">
        <f>IF(AND(C37=1,Tables!$B$17="YES",A37&gt;0,E37&lt;Tables!$B$16),Tables!$B$15,0)</f>
        <v/>
      </c>
      <c r="G37">
        <f>IF(C37=0,0,Tables!$B$8-IF(B37&gt;=Tables!$B$7,Tables!$B$6,0)+IF(B37&lt;Tables!$B$27,Tables!$B$9,Tables!$B$10)-F37)</f>
        <v/>
      </c>
      <c r="H37">
        <f>IF(C37=0,0,IF(B37&gt;=Tables!$B$77,Tables!$D$77,0)+IF(B37&gt;=Tables!$C$77,Tables!$E$77,0))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INDEX(Tables!$B$83:$B$123,A38+1)</f>
        <v/>
      </c>
      <c r="E38">
        <f>IF(A38=0,0,INDEX(Tables!$B$83:$B$123,A38))</f>
        <v/>
      </c>
      <c r="F38">
        <f>IF(AND(C38=1,Tables!$B$17="YES",A38&gt;0,E38&lt;Tables!$B$16),Tables!$B$15,0)</f>
        <v/>
      </c>
      <c r="G38">
        <f>IF(C38=0,0,Tables!$B$8-IF(B38&gt;=Tables!$B$7,Tables!$B$6,0)+IF(B38&lt;Tables!$B$27,Tables!$B$9,Tables!$B$10)-F38)</f>
        <v/>
      </c>
      <c r="H38">
        <f>IF(C38=0,0,IF(B38&gt;=Tables!$B$77,Tables!$D$77,0)+IF(B38&gt;=Tables!$C$77,Tables!$E$77,0))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INDEX(Tables!$B$83:$B$123,A39+1)</f>
        <v/>
      </c>
      <c r="E39">
        <f>IF(A39=0,0,INDEX(Tables!$B$83:$B$123,A39))</f>
        <v/>
      </c>
      <c r="F39">
        <f>IF(AND(C39=1,Tables!$B$17="YES",A39&gt;0,E39&lt;Tables!$B$16),Tables!$B$15,0)</f>
        <v/>
      </c>
      <c r="G39">
        <f>IF(C39=0,0,Tables!$B$8-IF(B39&gt;=Tables!$B$7,Tables!$B$6,0)+IF(B39&lt;Tables!$B$27,Tables!$B$9,Tables!$B$10)-F39)</f>
        <v/>
      </c>
      <c r="H39">
        <f>IF(C39=0,0,IF(B39&gt;=Tables!$B$77,Tables!$D$77,0)+IF(B39&gt;=Tables!$C$77,Tables!$E$77,0))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INDEX(Tables!$B$83:$B$123,A40+1)</f>
        <v/>
      </c>
      <c r="E40">
        <f>IF(A40=0,0,INDEX(Tables!$B$83:$B$123,A40))</f>
        <v/>
      </c>
      <c r="F40">
        <f>IF(AND(C40=1,Tables!$B$17="YES",A40&gt;0,E40&lt;Tables!$B$16),Tables!$B$15,0)</f>
        <v/>
      </c>
      <c r="G40">
        <f>IF(C40=0,0,Tables!$B$8-IF(B40&gt;=Tables!$B$7,Tables!$B$6,0)+IF(B40&lt;Tables!$B$27,Tables!$B$9,Tables!$B$10)-F40)</f>
        <v/>
      </c>
      <c r="H40">
        <f>IF(C40=0,0,IF(B40&gt;=Tables!$B$77,Tables!$D$77,0)+IF(B40&gt;=Tables!$C$77,Tables!$E$77,0))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INDEX(Tables!$B$83:$B$123,A41+1)</f>
        <v/>
      </c>
      <c r="E41">
        <f>IF(A41=0,0,INDEX(Tables!$B$83:$B$123,A41))</f>
        <v/>
      </c>
      <c r="F41">
        <f>IF(AND(C41=1,Tables!$B$17="YES",A41&gt;0,E41&lt;Tables!$B$16),Tables!$B$15,0)</f>
        <v/>
      </c>
      <c r="G41">
        <f>IF(C41=0,0,Tables!$B$8-IF(B41&gt;=Tables!$B$7,Tables!$B$6,0)+IF(B41&lt;Tables!$B$27,Tables!$B$9,Tables!$B$10)-F41)</f>
        <v/>
      </c>
      <c r="H41">
        <f>IF(C41=0,0,IF(B41&gt;=Tables!$B$77,Tables!$D$77,0)+IF(B41&gt;=Tables!$C$77,Tables!$E$77,0))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INDEX(Tables!$B$83:$B$123,A42+1)</f>
        <v/>
      </c>
      <c r="E42">
        <f>IF(A42=0,0,INDEX(Tables!$B$83:$B$123,A42))</f>
        <v/>
      </c>
      <c r="F42">
        <f>IF(AND(C42=1,Tables!$B$17="YES",A42&gt;0,E42&lt;Tables!$B$16),Tables!$B$15,0)</f>
        <v/>
      </c>
      <c r="G42">
        <f>IF(C42=0,0,Tables!$B$8-IF(B42&gt;=Tables!$B$7,Tables!$B$6,0)+IF(B42&lt;Tables!$B$27,Tables!$B$9,Tables!$B$10)-F42)</f>
        <v/>
      </c>
      <c r="H42">
        <f>IF(C42=0,0,IF(B42&gt;=Tables!$B$77,Tables!$D$77,0)+IF(B42&gt;=Tables!$C$77,Tables!$E$77,0))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8.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INDEX(Tables!$C$83:$C$123,A2+1)</f>
        <v/>
      </c>
      <c r="E2">
        <f>IF(A2=0,0,INDEX(Tables!$C$83:$C$123,A2))</f>
        <v/>
      </c>
      <c r="F2">
        <f>IF(AND(C2=1,Tables!$B$17="YES",A2&gt;0,E2&lt;Tables!$B$16),Tables!$B$15,0)</f>
        <v/>
      </c>
      <c r="G2">
        <f>IF(C2=0,0,Tables!$B$8-IF(B2&gt;=Tables!$B$7,Tables!$B$6,0)+IF(B2&lt;Tables!$B$27,Tables!$B$9,Tables!$B$10)-F2)</f>
        <v/>
      </c>
      <c r="H2">
        <f>IF(C2=0,0,IF(B2&gt;=Tables!$B$77,Tables!$D$77,0)+IF(B2&gt;=Tables!$C$77,Tables!$E$77,0))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INDEX(Tables!$C$83:$C$123,A3+1)</f>
        <v/>
      </c>
      <c r="E3">
        <f>IF(A3=0,0,INDEX(Tables!$C$83:$C$123,A3))</f>
        <v/>
      </c>
      <c r="F3">
        <f>IF(AND(C3=1,Tables!$B$17="YES",A3&gt;0,E3&lt;Tables!$B$16),Tables!$B$15,0)</f>
        <v/>
      </c>
      <c r="G3">
        <f>IF(C3=0,0,Tables!$B$8-IF(B3&gt;=Tables!$B$7,Tables!$B$6,0)+IF(B3&lt;Tables!$B$27,Tables!$B$9,Tables!$B$10)-F3)</f>
        <v/>
      </c>
      <c r="H3">
        <f>IF(C3=0,0,IF(B3&gt;=Tables!$B$77,Tables!$D$77,0)+IF(B3&gt;=Tables!$C$77,Tables!$E$77,0))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INDEX(Tables!$C$83:$C$123,A4+1)</f>
        <v/>
      </c>
      <c r="E4">
        <f>IF(A4=0,0,INDEX(Tables!$C$83:$C$123,A4))</f>
        <v/>
      </c>
      <c r="F4">
        <f>IF(AND(C4=1,Tables!$B$17="YES",A4&gt;0,E4&lt;Tables!$B$16),Tables!$B$15,0)</f>
        <v/>
      </c>
      <c r="G4">
        <f>IF(C4=0,0,Tables!$B$8-IF(B4&gt;=Tables!$B$7,Tables!$B$6,0)+IF(B4&lt;Tables!$B$27,Tables!$B$9,Tables!$B$10)-F4)</f>
        <v/>
      </c>
      <c r="H4">
        <f>IF(C4=0,0,IF(B4&gt;=Tables!$B$77,Tables!$D$77,0)+IF(B4&gt;=Tables!$C$77,Tables!$E$77,0))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INDEX(Tables!$C$83:$C$123,A5+1)</f>
        <v/>
      </c>
      <c r="E5">
        <f>IF(A5=0,0,INDEX(Tables!$C$83:$C$123,A5))</f>
        <v/>
      </c>
      <c r="F5">
        <f>IF(AND(C5=1,Tables!$B$17="YES",A5&gt;0,E5&lt;Tables!$B$16),Tables!$B$15,0)</f>
        <v/>
      </c>
      <c r="G5">
        <f>IF(C5=0,0,Tables!$B$8-IF(B5&gt;=Tables!$B$7,Tables!$B$6,0)+IF(B5&lt;Tables!$B$27,Tables!$B$9,Tables!$B$10)-F5)</f>
        <v/>
      </c>
      <c r="H5">
        <f>IF(C5=0,0,IF(B5&gt;=Tables!$B$77,Tables!$D$77,0)+IF(B5&gt;=Tables!$C$77,Tables!$E$77,0))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INDEX(Tables!$C$83:$C$123,A6+1)</f>
        <v/>
      </c>
      <c r="E6">
        <f>IF(A6=0,0,INDEX(Tables!$C$83:$C$123,A6))</f>
        <v/>
      </c>
      <c r="F6">
        <f>IF(AND(C6=1,Tables!$B$17="YES",A6&gt;0,E6&lt;Tables!$B$16),Tables!$B$15,0)</f>
        <v/>
      </c>
      <c r="G6">
        <f>IF(C6=0,0,Tables!$B$8-IF(B6&gt;=Tables!$B$7,Tables!$B$6,0)+IF(B6&lt;Tables!$B$27,Tables!$B$9,Tables!$B$10)-F6)</f>
        <v/>
      </c>
      <c r="H6">
        <f>IF(C6=0,0,IF(B6&gt;=Tables!$B$77,Tables!$D$77,0)+IF(B6&gt;=Tables!$C$77,Tables!$E$77,0))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INDEX(Tables!$C$83:$C$123,A7+1)</f>
        <v/>
      </c>
      <c r="E7">
        <f>IF(A7=0,0,INDEX(Tables!$C$83:$C$123,A7))</f>
        <v/>
      </c>
      <c r="F7">
        <f>IF(AND(C7=1,Tables!$B$17="YES",A7&gt;0,E7&lt;Tables!$B$16),Tables!$B$15,0)</f>
        <v/>
      </c>
      <c r="G7">
        <f>IF(C7=0,0,Tables!$B$8-IF(B7&gt;=Tables!$B$7,Tables!$B$6,0)+IF(B7&lt;Tables!$B$27,Tables!$B$9,Tables!$B$10)-F7)</f>
        <v/>
      </c>
      <c r="H7">
        <f>IF(C7=0,0,IF(B7&gt;=Tables!$B$77,Tables!$D$77,0)+IF(B7&gt;=Tables!$C$77,Tables!$E$77,0))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INDEX(Tables!$C$83:$C$123,A8+1)</f>
        <v/>
      </c>
      <c r="E8">
        <f>IF(A8=0,0,INDEX(Tables!$C$83:$C$123,A8))</f>
        <v/>
      </c>
      <c r="F8">
        <f>IF(AND(C8=1,Tables!$B$17="YES",A8&gt;0,E8&lt;Tables!$B$16),Tables!$B$15,0)</f>
        <v/>
      </c>
      <c r="G8">
        <f>IF(C8=0,0,Tables!$B$8-IF(B8&gt;=Tables!$B$7,Tables!$B$6,0)+IF(B8&lt;Tables!$B$27,Tables!$B$9,Tables!$B$10)-F8)</f>
        <v/>
      </c>
      <c r="H8">
        <f>IF(C8=0,0,IF(B8&gt;=Tables!$B$77,Tables!$D$77,0)+IF(B8&gt;=Tables!$C$77,Tables!$E$77,0))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INDEX(Tables!$C$83:$C$123,A9+1)</f>
        <v/>
      </c>
      <c r="E9">
        <f>IF(A9=0,0,INDEX(Tables!$C$83:$C$123,A9))</f>
        <v/>
      </c>
      <c r="F9">
        <f>IF(AND(C9=1,Tables!$B$17="YES",A9&gt;0,E9&lt;Tables!$B$16),Tables!$B$15,0)</f>
        <v/>
      </c>
      <c r="G9">
        <f>IF(C9=0,0,Tables!$B$8-IF(B9&gt;=Tables!$B$7,Tables!$B$6,0)+IF(B9&lt;Tables!$B$27,Tables!$B$9,Tables!$B$10)-F9)</f>
        <v/>
      </c>
      <c r="H9">
        <f>IF(C9=0,0,IF(B9&gt;=Tables!$B$77,Tables!$D$77,0)+IF(B9&gt;=Tables!$C$77,Tables!$E$77,0))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INDEX(Tables!$C$83:$C$123,A10+1)</f>
        <v/>
      </c>
      <c r="E10">
        <f>IF(A10=0,0,INDEX(Tables!$C$83:$C$123,A10))</f>
        <v/>
      </c>
      <c r="F10">
        <f>IF(AND(C10=1,Tables!$B$17="YES",A10&gt;0,E10&lt;Tables!$B$16),Tables!$B$15,0)</f>
        <v/>
      </c>
      <c r="G10">
        <f>IF(C10=0,0,Tables!$B$8-IF(B10&gt;=Tables!$B$7,Tables!$B$6,0)+IF(B10&lt;Tables!$B$27,Tables!$B$9,Tables!$B$10)-F10)</f>
        <v/>
      </c>
      <c r="H10">
        <f>IF(C10=0,0,IF(B10&gt;=Tables!$B$77,Tables!$D$77,0)+IF(B10&gt;=Tables!$C$77,Tables!$E$77,0))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INDEX(Tables!$C$83:$C$123,A11+1)</f>
        <v/>
      </c>
      <c r="E11">
        <f>IF(A11=0,0,INDEX(Tables!$C$83:$C$123,A11))</f>
        <v/>
      </c>
      <c r="F11">
        <f>IF(AND(C11=1,Tables!$B$17="YES",A11&gt;0,E11&lt;Tables!$B$16),Tables!$B$15,0)</f>
        <v/>
      </c>
      <c r="G11">
        <f>IF(C11=0,0,Tables!$B$8-IF(B11&gt;=Tables!$B$7,Tables!$B$6,0)+IF(B11&lt;Tables!$B$27,Tables!$B$9,Tables!$B$10)-F11)</f>
        <v/>
      </c>
      <c r="H11">
        <f>IF(C11=0,0,IF(B11&gt;=Tables!$B$77,Tables!$D$77,0)+IF(B11&gt;=Tables!$C$77,Tables!$E$77,0))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INDEX(Tables!$C$83:$C$123,A12+1)</f>
        <v/>
      </c>
      <c r="E12">
        <f>IF(A12=0,0,INDEX(Tables!$C$83:$C$123,A12))</f>
        <v/>
      </c>
      <c r="F12">
        <f>IF(AND(C12=1,Tables!$B$17="YES",A12&gt;0,E12&lt;Tables!$B$16),Tables!$B$15,0)</f>
        <v/>
      </c>
      <c r="G12">
        <f>IF(C12=0,0,Tables!$B$8-IF(B12&gt;=Tables!$B$7,Tables!$B$6,0)+IF(B12&lt;Tables!$B$27,Tables!$B$9,Tables!$B$10)-F12)</f>
        <v/>
      </c>
      <c r="H12">
        <f>IF(C12=0,0,IF(B12&gt;=Tables!$B$77,Tables!$D$77,0)+IF(B12&gt;=Tables!$C$77,Tables!$E$77,0))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INDEX(Tables!$C$83:$C$123,A13+1)</f>
        <v/>
      </c>
      <c r="E13">
        <f>IF(A13=0,0,INDEX(Tables!$C$83:$C$123,A13))</f>
        <v/>
      </c>
      <c r="F13">
        <f>IF(AND(C13=1,Tables!$B$17="YES",A13&gt;0,E13&lt;Tables!$B$16),Tables!$B$15,0)</f>
        <v/>
      </c>
      <c r="G13">
        <f>IF(C13=0,0,Tables!$B$8-IF(B13&gt;=Tables!$B$7,Tables!$B$6,0)+IF(B13&lt;Tables!$B$27,Tables!$B$9,Tables!$B$10)-F13)</f>
        <v/>
      </c>
      <c r="H13">
        <f>IF(C13=0,0,IF(B13&gt;=Tables!$B$77,Tables!$D$77,0)+IF(B13&gt;=Tables!$C$77,Tables!$E$77,0))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INDEX(Tables!$C$83:$C$123,A14+1)</f>
        <v/>
      </c>
      <c r="E14">
        <f>IF(A14=0,0,INDEX(Tables!$C$83:$C$123,A14))</f>
        <v/>
      </c>
      <c r="F14">
        <f>IF(AND(C14=1,Tables!$B$17="YES",A14&gt;0,E14&lt;Tables!$B$16),Tables!$B$15,0)</f>
        <v/>
      </c>
      <c r="G14">
        <f>IF(C14=0,0,Tables!$B$8-IF(B14&gt;=Tables!$B$7,Tables!$B$6,0)+IF(B14&lt;Tables!$B$27,Tables!$B$9,Tables!$B$10)-F14)</f>
        <v/>
      </c>
      <c r="H14">
        <f>IF(C14=0,0,IF(B14&gt;=Tables!$B$77,Tables!$D$77,0)+IF(B14&gt;=Tables!$C$77,Tables!$E$77,0))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INDEX(Tables!$C$83:$C$123,A15+1)</f>
        <v/>
      </c>
      <c r="E15">
        <f>IF(A15=0,0,INDEX(Tables!$C$83:$C$123,A15))</f>
        <v/>
      </c>
      <c r="F15">
        <f>IF(AND(C15=1,Tables!$B$17="YES",A15&gt;0,E15&lt;Tables!$B$16),Tables!$B$15,0)</f>
        <v/>
      </c>
      <c r="G15">
        <f>IF(C15=0,0,Tables!$B$8-IF(B15&gt;=Tables!$B$7,Tables!$B$6,0)+IF(B15&lt;Tables!$B$27,Tables!$B$9,Tables!$B$10)-F15)</f>
        <v/>
      </c>
      <c r="H15">
        <f>IF(C15=0,0,IF(B15&gt;=Tables!$B$77,Tables!$D$77,0)+IF(B15&gt;=Tables!$C$77,Tables!$E$77,0))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INDEX(Tables!$C$83:$C$123,A16+1)</f>
        <v/>
      </c>
      <c r="E16">
        <f>IF(A16=0,0,INDEX(Tables!$C$83:$C$123,A16))</f>
        <v/>
      </c>
      <c r="F16">
        <f>IF(AND(C16=1,Tables!$B$17="YES",A16&gt;0,E16&lt;Tables!$B$16),Tables!$B$15,0)</f>
        <v/>
      </c>
      <c r="G16">
        <f>IF(C16=0,0,Tables!$B$8-IF(B16&gt;=Tables!$B$7,Tables!$B$6,0)+IF(B16&lt;Tables!$B$27,Tables!$B$9,Tables!$B$10)-F16)</f>
        <v/>
      </c>
      <c r="H16">
        <f>IF(C16=0,0,IF(B16&gt;=Tables!$B$77,Tables!$D$77,0)+IF(B16&gt;=Tables!$C$77,Tables!$E$77,0))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INDEX(Tables!$C$83:$C$123,A17+1)</f>
        <v/>
      </c>
      <c r="E17">
        <f>IF(A17=0,0,INDEX(Tables!$C$83:$C$123,A17))</f>
        <v/>
      </c>
      <c r="F17">
        <f>IF(AND(C17=1,Tables!$B$17="YES",A17&gt;0,E17&lt;Tables!$B$16),Tables!$B$15,0)</f>
        <v/>
      </c>
      <c r="G17">
        <f>IF(C17=0,0,Tables!$B$8-IF(B17&gt;=Tables!$B$7,Tables!$B$6,0)+IF(B17&lt;Tables!$B$27,Tables!$B$9,Tables!$B$10)-F17)</f>
        <v/>
      </c>
      <c r="H17">
        <f>IF(C17=0,0,IF(B17&gt;=Tables!$B$77,Tables!$D$77,0)+IF(B17&gt;=Tables!$C$77,Tables!$E$77,0))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INDEX(Tables!$C$83:$C$123,A18+1)</f>
        <v/>
      </c>
      <c r="E18">
        <f>IF(A18=0,0,INDEX(Tables!$C$83:$C$123,A18))</f>
        <v/>
      </c>
      <c r="F18">
        <f>IF(AND(C18=1,Tables!$B$17="YES",A18&gt;0,E18&lt;Tables!$B$16),Tables!$B$15,0)</f>
        <v/>
      </c>
      <c r="G18">
        <f>IF(C18=0,0,Tables!$B$8-IF(B18&gt;=Tables!$B$7,Tables!$B$6,0)+IF(B18&lt;Tables!$B$27,Tables!$B$9,Tables!$B$10)-F18)</f>
        <v/>
      </c>
      <c r="H18">
        <f>IF(C18=0,0,IF(B18&gt;=Tables!$B$77,Tables!$D$77,0)+IF(B18&gt;=Tables!$C$77,Tables!$E$77,0))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INDEX(Tables!$C$83:$C$123,A19+1)</f>
        <v/>
      </c>
      <c r="E19">
        <f>IF(A19=0,0,INDEX(Tables!$C$83:$C$123,A19))</f>
        <v/>
      </c>
      <c r="F19">
        <f>IF(AND(C19=1,Tables!$B$17="YES",A19&gt;0,E19&lt;Tables!$B$16),Tables!$B$15,0)</f>
        <v/>
      </c>
      <c r="G19">
        <f>IF(C19=0,0,Tables!$B$8-IF(B19&gt;=Tables!$B$7,Tables!$B$6,0)+IF(B19&lt;Tables!$B$27,Tables!$B$9,Tables!$B$10)-F19)</f>
        <v/>
      </c>
      <c r="H19">
        <f>IF(C19=0,0,IF(B19&gt;=Tables!$B$77,Tables!$D$77,0)+IF(B19&gt;=Tables!$C$77,Tables!$E$77,0))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INDEX(Tables!$C$83:$C$123,A20+1)</f>
        <v/>
      </c>
      <c r="E20">
        <f>IF(A20=0,0,INDEX(Tables!$C$83:$C$123,A20))</f>
        <v/>
      </c>
      <c r="F20">
        <f>IF(AND(C20=1,Tables!$B$17="YES",A20&gt;0,E20&lt;Tables!$B$16),Tables!$B$15,0)</f>
        <v/>
      </c>
      <c r="G20">
        <f>IF(C20=0,0,Tables!$B$8-IF(B20&gt;=Tables!$B$7,Tables!$B$6,0)+IF(B20&lt;Tables!$B$27,Tables!$B$9,Tables!$B$10)-F20)</f>
        <v/>
      </c>
      <c r="H20">
        <f>IF(C20=0,0,IF(B20&gt;=Tables!$B$77,Tables!$D$77,0)+IF(B20&gt;=Tables!$C$77,Tables!$E$77,0))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INDEX(Tables!$C$83:$C$123,A21+1)</f>
        <v/>
      </c>
      <c r="E21">
        <f>IF(A21=0,0,INDEX(Tables!$C$83:$C$123,A21))</f>
        <v/>
      </c>
      <c r="F21">
        <f>IF(AND(C21=1,Tables!$B$17="YES",A21&gt;0,E21&lt;Tables!$B$16),Tables!$B$15,0)</f>
        <v/>
      </c>
      <c r="G21">
        <f>IF(C21=0,0,Tables!$B$8-IF(B21&gt;=Tables!$B$7,Tables!$B$6,0)+IF(B21&lt;Tables!$B$27,Tables!$B$9,Tables!$B$10)-F21)</f>
        <v/>
      </c>
      <c r="H21">
        <f>IF(C21=0,0,IF(B21&gt;=Tables!$B$77,Tables!$D$77,0)+IF(B21&gt;=Tables!$C$77,Tables!$E$77,0))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INDEX(Tables!$C$83:$C$123,A22+1)</f>
        <v/>
      </c>
      <c r="E22">
        <f>IF(A22=0,0,INDEX(Tables!$C$83:$C$123,A22))</f>
        <v/>
      </c>
      <c r="F22">
        <f>IF(AND(C22=1,Tables!$B$17="YES",A22&gt;0,E22&lt;Tables!$B$16),Tables!$B$15,0)</f>
        <v/>
      </c>
      <c r="G22">
        <f>IF(C22=0,0,Tables!$B$8-IF(B22&gt;=Tables!$B$7,Tables!$B$6,0)+IF(B22&lt;Tables!$B$27,Tables!$B$9,Tables!$B$10)-F22)</f>
        <v/>
      </c>
      <c r="H22">
        <f>IF(C22=0,0,IF(B22&gt;=Tables!$B$77,Tables!$D$77,0)+IF(B22&gt;=Tables!$C$77,Tables!$E$77,0))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INDEX(Tables!$C$83:$C$123,A23+1)</f>
        <v/>
      </c>
      <c r="E23">
        <f>IF(A23=0,0,INDEX(Tables!$C$83:$C$123,A23))</f>
        <v/>
      </c>
      <c r="F23">
        <f>IF(AND(C23=1,Tables!$B$17="YES",A23&gt;0,E23&lt;Tables!$B$16),Tables!$B$15,0)</f>
        <v/>
      </c>
      <c r="G23">
        <f>IF(C23=0,0,Tables!$B$8-IF(B23&gt;=Tables!$B$7,Tables!$B$6,0)+IF(B23&lt;Tables!$B$27,Tables!$B$9,Tables!$B$10)-F23)</f>
        <v/>
      </c>
      <c r="H23">
        <f>IF(C23=0,0,IF(B23&gt;=Tables!$B$77,Tables!$D$77,0)+IF(B23&gt;=Tables!$C$77,Tables!$E$77,0))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INDEX(Tables!$C$83:$C$123,A24+1)</f>
        <v/>
      </c>
      <c r="E24">
        <f>IF(A24=0,0,INDEX(Tables!$C$83:$C$123,A24))</f>
        <v/>
      </c>
      <c r="F24">
        <f>IF(AND(C24=1,Tables!$B$17="YES",A24&gt;0,E24&lt;Tables!$B$16),Tables!$B$15,0)</f>
        <v/>
      </c>
      <c r="G24">
        <f>IF(C24=0,0,Tables!$B$8-IF(B24&gt;=Tables!$B$7,Tables!$B$6,0)+IF(B24&lt;Tables!$B$27,Tables!$B$9,Tables!$B$10)-F24)</f>
        <v/>
      </c>
      <c r="H24">
        <f>IF(C24=0,0,IF(B24&gt;=Tables!$B$77,Tables!$D$77,0)+IF(B24&gt;=Tables!$C$77,Tables!$E$77,0))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INDEX(Tables!$C$83:$C$123,A25+1)</f>
        <v/>
      </c>
      <c r="E25">
        <f>IF(A25=0,0,INDEX(Tables!$C$83:$C$123,A25))</f>
        <v/>
      </c>
      <c r="F25">
        <f>IF(AND(C25=1,Tables!$B$17="YES",A25&gt;0,E25&lt;Tables!$B$16),Tables!$B$15,0)</f>
        <v/>
      </c>
      <c r="G25">
        <f>IF(C25=0,0,Tables!$B$8-IF(B25&gt;=Tables!$B$7,Tables!$B$6,0)+IF(B25&lt;Tables!$B$27,Tables!$B$9,Tables!$B$10)-F25)</f>
        <v/>
      </c>
      <c r="H25">
        <f>IF(C25=0,0,IF(B25&gt;=Tables!$B$77,Tables!$D$77,0)+IF(B25&gt;=Tables!$C$77,Tables!$E$77,0))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INDEX(Tables!$C$83:$C$123,A26+1)</f>
        <v/>
      </c>
      <c r="E26">
        <f>IF(A26=0,0,INDEX(Tables!$C$83:$C$123,A26))</f>
        <v/>
      </c>
      <c r="F26">
        <f>IF(AND(C26=1,Tables!$B$17="YES",A26&gt;0,E26&lt;Tables!$B$16),Tables!$B$15,0)</f>
        <v/>
      </c>
      <c r="G26">
        <f>IF(C26=0,0,Tables!$B$8-IF(B26&gt;=Tables!$B$7,Tables!$B$6,0)+IF(B26&lt;Tables!$B$27,Tables!$B$9,Tables!$B$10)-F26)</f>
        <v/>
      </c>
      <c r="H26">
        <f>IF(C26=0,0,IF(B26&gt;=Tables!$B$77,Tables!$D$77,0)+IF(B26&gt;=Tables!$C$77,Tables!$E$77,0))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INDEX(Tables!$C$83:$C$123,A27+1)</f>
        <v/>
      </c>
      <c r="E27">
        <f>IF(A27=0,0,INDEX(Tables!$C$83:$C$123,A27))</f>
        <v/>
      </c>
      <c r="F27">
        <f>IF(AND(C27=1,Tables!$B$17="YES",A27&gt;0,E27&lt;Tables!$B$16),Tables!$B$15,0)</f>
        <v/>
      </c>
      <c r="G27">
        <f>IF(C27=0,0,Tables!$B$8-IF(B27&gt;=Tables!$B$7,Tables!$B$6,0)+IF(B27&lt;Tables!$B$27,Tables!$B$9,Tables!$B$10)-F27)</f>
        <v/>
      </c>
      <c r="H27">
        <f>IF(C27=0,0,IF(B27&gt;=Tables!$B$77,Tables!$D$77,0)+IF(B27&gt;=Tables!$C$77,Tables!$E$77,0))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INDEX(Tables!$C$83:$C$123,A28+1)</f>
        <v/>
      </c>
      <c r="E28">
        <f>IF(A28=0,0,INDEX(Tables!$C$83:$C$123,A28))</f>
        <v/>
      </c>
      <c r="F28">
        <f>IF(AND(C28=1,Tables!$B$17="YES",A28&gt;0,E28&lt;Tables!$B$16),Tables!$B$15,0)</f>
        <v/>
      </c>
      <c r="G28">
        <f>IF(C28=0,0,Tables!$B$8-IF(B28&gt;=Tables!$B$7,Tables!$B$6,0)+IF(B28&lt;Tables!$B$27,Tables!$B$9,Tables!$B$10)-F28)</f>
        <v/>
      </c>
      <c r="H28">
        <f>IF(C28=0,0,IF(B28&gt;=Tables!$B$77,Tables!$D$77,0)+IF(B28&gt;=Tables!$C$77,Tables!$E$77,0))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INDEX(Tables!$C$83:$C$123,A29+1)</f>
        <v/>
      </c>
      <c r="E29">
        <f>IF(A29=0,0,INDEX(Tables!$C$83:$C$123,A29))</f>
        <v/>
      </c>
      <c r="F29">
        <f>IF(AND(C29=1,Tables!$B$17="YES",A29&gt;0,E29&lt;Tables!$B$16),Tables!$B$15,0)</f>
        <v/>
      </c>
      <c r="G29">
        <f>IF(C29=0,0,Tables!$B$8-IF(B29&gt;=Tables!$B$7,Tables!$B$6,0)+IF(B29&lt;Tables!$B$27,Tables!$B$9,Tables!$B$10)-F29)</f>
        <v/>
      </c>
      <c r="H29">
        <f>IF(C29=0,0,IF(B29&gt;=Tables!$B$77,Tables!$D$77,0)+IF(B29&gt;=Tables!$C$77,Tables!$E$77,0))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INDEX(Tables!$C$83:$C$123,A30+1)</f>
        <v/>
      </c>
      <c r="E30">
        <f>IF(A30=0,0,INDEX(Tables!$C$83:$C$123,A30))</f>
        <v/>
      </c>
      <c r="F30">
        <f>IF(AND(C30=1,Tables!$B$17="YES",A30&gt;0,E30&lt;Tables!$B$16),Tables!$B$15,0)</f>
        <v/>
      </c>
      <c r="G30">
        <f>IF(C30=0,0,Tables!$B$8-IF(B30&gt;=Tables!$B$7,Tables!$B$6,0)+IF(B30&lt;Tables!$B$27,Tables!$B$9,Tables!$B$10)-F30)</f>
        <v/>
      </c>
      <c r="H30">
        <f>IF(C30=0,0,IF(B30&gt;=Tables!$B$77,Tables!$D$77,0)+IF(B30&gt;=Tables!$C$77,Tables!$E$77,0))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INDEX(Tables!$C$83:$C$123,A31+1)</f>
        <v/>
      </c>
      <c r="E31">
        <f>IF(A31=0,0,INDEX(Tables!$C$83:$C$123,A31))</f>
        <v/>
      </c>
      <c r="F31">
        <f>IF(AND(C31=1,Tables!$B$17="YES",A31&gt;0,E31&lt;Tables!$B$16),Tables!$B$15,0)</f>
        <v/>
      </c>
      <c r="G31">
        <f>IF(C31=0,0,Tables!$B$8-IF(B31&gt;=Tables!$B$7,Tables!$B$6,0)+IF(B31&lt;Tables!$B$27,Tables!$B$9,Tables!$B$10)-F31)</f>
        <v/>
      </c>
      <c r="H31">
        <f>IF(C31=0,0,IF(B31&gt;=Tables!$B$77,Tables!$D$77,0)+IF(B31&gt;=Tables!$C$77,Tables!$E$77,0))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INDEX(Tables!$C$83:$C$123,A32+1)</f>
        <v/>
      </c>
      <c r="E32">
        <f>IF(A32=0,0,INDEX(Tables!$C$83:$C$123,A32))</f>
        <v/>
      </c>
      <c r="F32">
        <f>IF(AND(C32=1,Tables!$B$17="YES",A32&gt;0,E32&lt;Tables!$B$16),Tables!$B$15,0)</f>
        <v/>
      </c>
      <c r="G32">
        <f>IF(C32=0,0,Tables!$B$8-IF(B32&gt;=Tables!$B$7,Tables!$B$6,0)+IF(B32&lt;Tables!$B$27,Tables!$B$9,Tables!$B$10)-F32)</f>
        <v/>
      </c>
      <c r="H32">
        <f>IF(C32=0,0,IF(B32&gt;=Tables!$B$77,Tables!$D$77,0)+IF(B32&gt;=Tables!$C$77,Tables!$E$77,0))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INDEX(Tables!$C$83:$C$123,A33+1)</f>
        <v/>
      </c>
      <c r="E33">
        <f>IF(A33=0,0,INDEX(Tables!$C$83:$C$123,A33))</f>
        <v/>
      </c>
      <c r="F33">
        <f>IF(AND(C33=1,Tables!$B$17="YES",A33&gt;0,E33&lt;Tables!$B$16),Tables!$B$15,0)</f>
        <v/>
      </c>
      <c r="G33">
        <f>IF(C33=0,0,Tables!$B$8-IF(B33&gt;=Tables!$B$7,Tables!$B$6,0)+IF(B33&lt;Tables!$B$27,Tables!$B$9,Tables!$B$10)-F33)</f>
        <v/>
      </c>
      <c r="H33">
        <f>IF(C33=0,0,IF(B33&gt;=Tables!$B$77,Tables!$D$77,0)+IF(B33&gt;=Tables!$C$77,Tables!$E$77,0))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INDEX(Tables!$C$83:$C$123,A34+1)</f>
        <v/>
      </c>
      <c r="E34">
        <f>IF(A34=0,0,INDEX(Tables!$C$83:$C$123,A34))</f>
        <v/>
      </c>
      <c r="F34">
        <f>IF(AND(C34=1,Tables!$B$17="YES",A34&gt;0,E34&lt;Tables!$B$16),Tables!$B$15,0)</f>
        <v/>
      </c>
      <c r="G34">
        <f>IF(C34=0,0,Tables!$B$8-IF(B34&gt;=Tables!$B$7,Tables!$B$6,0)+IF(B34&lt;Tables!$B$27,Tables!$B$9,Tables!$B$10)-F34)</f>
        <v/>
      </c>
      <c r="H34">
        <f>IF(C34=0,0,IF(B34&gt;=Tables!$B$77,Tables!$D$77,0)+IF(B34&gt;=Tables!$C$77,Tables!$E$77,0))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INDEX(Tables!$C$83:$C$123,A35+1)</f>
        <v/>
      </c>
      <c r="E35">
        <f>IF(A35=0,0,INDEX(Tables!$C$83:$C$123,A35))</f>
        <v/>
      </c>
      <c r="F35">
        <f>IF(AND(C35=1,Tables!$B$17="YES",A35&gt;0,E35&lt;Tables!$B$16),Tables!$B$15,0)</f>
        <v/>
      </c>
      <c r="G35">
        <f>IF(C35=0,0,Tables!$B$8-IF(B35&gt;=Tables!$B$7,Tables!$B$6,0)+IF(B35&lt;Tables!$B$27,Tables!$B$9,Tables!$B$10)-F35)</f>
        <v/>
      </c>
      <c r="H35">
        <f>IF(C35=0,0,IF(B35&gt;=Tables!$B$77,Tables!$D$77,0)+IF(B35&gt;=Tables!$C$77,Tables!$E$77,0))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INDEX(Tables!$C$83:$C$123,A36+1)</f>
        <v/>
      </c>
      <c r="E36">
        <f>IF(A36=0,0,INDEX(Tables!$C$83:$C$123,A36))</f>
        <v/>
      </c>
      <c r="F36">
        <f>IF(AND(C36=1,Tables!$B$17="YES",A36&gt;0,E36&lt;Tables!$B$16),Tables!$B$15,0)</f>
        <v/>
      </c>
      <c r="G36">
        <f>IF(C36=0,0,Tables!$B$8-IF(B36&gt;=Tables!$B$7,Tables!$B$6,0)+IF(B36&lt;Tables!$B$27,Tables!$B$9,Tables!$B$10)-F36)</f>
        <v/>
      </c>
      <c r="H36">
        <f>IF(C36=0,0,IF(B36&gt;=Tables!$B$77,Tables!$D$77,0)+IF(B36&gt;=Tables!$C$77,Tables!$E$77,0))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INDEX(Tables!$C$83:$C$123,A37+1)</f>
        <v/>
      </c>
      <c r="E37">
        <f>IF(A37=0,0,INDEX(Tables!$C$83:$C$123,A37))</f>
        <v/>
      </c>
      <c r="F37">
        <f>IF(AND(C37=1,Tables!$B$17="YES",A37&gt;0,E37&lt;Tables!$B$16),Tables!$B$15,0)</f>
        <v/>
      </c>
      <c r="G37">
        <f>IF(C37=0,0,Tables!$B$8-IF(B37&gt;=Tables!$B$7,Tables!$B$6,0)+IF(B37&lt;Tables!$B$27,Tables!$B$9,Tables!$B$10)-F37)</f>
        <v/>
      </c>
      <c r="H37">
        <f>IF(C37=0,0,IF(B37&gt;=Tables!$B$77,Tables!$D$77,0)+IF(B37&gt;=Tables!$C$77,Tables!$E$77,0))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INDEX(Tables!$C$83:$C$123,A38+1)</f>
        <v/>
      </c>
      <c r="E38">
        <f>IF(A38=0,0,INDEX(Tables!$C$83:$C$123,A38))</f>
        <v/>
      </c>
      <c r="F38">
        <f>IF(AND(C38=1,Tables!$B$17="YES",A38&gt;0,E38&lt;Tables!$B$16),Tables!$B$15,0)</f>
        <v/>
      </c>
      <c r="G38">
        <f>IF(C38=0,0,Tables!$B$8-IF(B38&gt;=Tables!$B$7,Tables!$B$6,0)+IF(B38&lt;Tables!$B$27,Tables!$B$9,Tables!$B$10)-F38)</f>
        <v/>
      </c>
      <c r="H38">
        <f>IF(C38=0,0,IF(B38&gt;=Tables!$B$77,Tables!$D$77,0)+IF(B38&gt;=Tables!$C$77,Tables!$E$77,0))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INDEX(Tables!$C$83:$C$123,A39+1)</f>
        <v/>
      </c>
      <c r="E39">
        <f>IF(A39=0,0,INDEX(Tables!$C$83:$C$123,A39))</f>
        <v/>
      </c>
      <c r="F39">
        <f>IF(AND(C39=1,Tables!$B$17="YES",A39&gt;0,E39&lt;Tables!$B$16),Tables!$B$15,0)</f>
        <v/>
      </c>
      <c r="G39">
        <f>IF(C39=0,0,Tables!$B$8-IF(B39&gt;=Tables!$B$7,Tables!$B$6,0)+IF(B39&lt;Tables!$B$27,Tables!$B$9,Tables!$B$10)-F39)</f>
        <v/>
      </c>
      <c r="H39">
        <f>IF(C39=0,0,IF(B39&gt;=Tables!$B$77,Tables!$D$77,0)+IF(B39&gt;=Tables!$C$77,Tables!$E$77,0))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INDEX(Tables!$C$83:$C$123,A40+1)</f>
        <v/>
      </c>
      <c r="E40">
        <f>IF(A40=0,0,INDEX(Tables!$C$83:$C$123,A40))</f>
        <v/>
      </c>
      <c r="F40">
        <f>IF(AND(C40=1,Tables!$B$17="YES",A40&gt;0,E40&lt;Tables!$B$16),Tables!$B$15,0)</f>
        <v/>
      </c>
      <c r="G40">
        <f>IF(C40=0,0,Tables!$B$8-IF(B40&gt;=Tables!$B$7,Tables!$B$6,0)+IF(B40&lt;Tables!$B$27,Tables!$B$9,Tables!$B$10)-F40)</f>
        <v/>
      </c>
      <c r="H40">
        <f>IF(C40=0,0,IF(B40&gt;=Tables!$B$77,Tables!$D$77,0)+IF(B40&gt;=Tables!$C$77,Tables!$E$77,0))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INDEX(Tables!$C$83:$C$123,A41+1)</f>
        <v/>
      </c>
      <c r="E41">
        <f>IF(A41=0,0,INDEX(Tables!$C$83:$C$123,A41))</f>
        <v/>
      </c>
      <c r="F41">
        <f>IF(AND(C41=1,Tables!$B$17="YES",A41&gt;0,E41&lt;Tables!$B$16),Tables!$B$15,0)</f>
        <v/>
      </c>
      <c r="G41">
        <f>IF(C41=0,0,Tables!$B$8-IF(B41&gt;=Tables!$B$7,Tables!$B$6,0)+IF(B41&lt;Tables!$B$27,Tables!$B$9,Tables!$B$10)-F41)</f>
        <v/>
      </c>
      <c r="H41">
        <f>IF(C41=0,0,IF(B41&gt;=Tables!$B$77,Tables!$D$77,0)+IF(B41&gt;=Tables!$C$77,Tables!$E$77,0))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INDEX(Tables!$C$83:$C$123,A42+1)</f>
        <v/>
      </c>
      <c r="E42">
        <f>IF(A42=0,0,INDEX(Tables!$C$83:$C$123,A42))</f>
        <v/>
      </c>
      <c r="F42">
        <f>IF(AND(C42=1,Tables!$B$17="YES",A42&gt;0,E42&lt;Tables!$B$16),Tables!$B$15,0)</f>
        <v/>
      </c>
      <c r="G42">
        <f>IF(C42=0,0,Tables!$B$8-IF(B42&gt;=Tables!$B$7,Tables!$B$6,0)+IF(B42&lt;Tables!$B$27,Tables!$B$9,Tables!$B$10)-F42)</f>
        <v/>
      </c>
      <c r="H42">
        <f>IF(C42=0,0,IF(B42&gt;=Tables!$B$77,Tables!$D$77,0)+IF(B42&gt;=Tables!$C$77,Tables!$E$77,0))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xl/worksheets/sheet9.xml><?xml version="1.0" encoding="utf-8"?>
<worksheet xmlns="http://schemas.openxmlformats.org/spreadsheetml/2006/main">
  <sheetPr>
    <tabColor rgb="00808080"/>
    <outlinePr summaryBelow="1" summaryRight="1"/>
    <pageSetUpPr/>
  </sheetPr>
  <dimension ref="A1:CD48"/>
  <sheetViews>
    <sheetView workbookViewId="0">
      <pane xSplit="1" ySplit="1" topLeftCell="B2" activePane="bottomRight" state="frozen"/>
      <selection pane="topRight"/>
      <selection pane="bottomLeft"/>
      <selection pane="bottomRight" activeCell="A1" sqref="A1"/>
    </sheetView>
  </sheetViews>
  <sheetFormatPr baseColWidth="8" defaultRowHeight="15"/>
  <sheetData>
    <row r="1">
      <c r="A1" s="72" t="inlineStr">
        <is>
          <t>idx</t>
        </is>
      </c>
      <c r="B1" s="72" t="inlineStr">
        <is>
          <t>age</t>
        </is>
      </c>
      <c r="C1" s="72" t="inlineStr">
        <is>
          <t>active</t>
        </is>
      </c>
      <c r="D1" s="72" t="inlineStr">
        <is>
          <t>return</t>
        </is>
      </c>
      <c r="E1" s="72" t="inlineStr">
        <is>
          <t>prev return</t>
        </is>
      </c>
      <c r="F1" s="72" t="inlineStr">
        <is>
          <t>guardrail cut</t>
        </is>
      </c>
      <c r="G1" s="72" t="inlineStr">
        <is>
          <t>spending</t>
        </is>
      </c>
      <c r="H1" s="72" t="inlineStr">
        <is>
          <t>social security</t>
        </is>
      </c>
      <c r="I1" s="72" t="inlineStr">
        <is>
          <t>trad start</t>
        </is>
      </c>
      <c r="J1" s="72" t="inlineStr">
        <is>
          <t>roth start</t>
        </is>
      </c>
      <c r="K1" s="72" t="inlineStr">
        <is>
          <t>taxable start</t>
        </is>
      </c>
      <c r="L1" s="72" t="inlineStr">
        <is>
          <t>RMD</t>
        </is>
      </c>
      <c r="M1" s="72" t="inlineStr">
        <is>
          <t>tss@rmd</t>
        </is>
      </c>
      <c r="N1" s="72" t="inlineStr">
        <is>
          <t>ti@rmd</t>
        </is>
      </c>
      <c r="O1" s="72" t="inlineStr">
        <is>
          <t>tax@rmd</t>
        </is>
      </c>
      <c r="P1" s="72" t="inlineStr">
        <is>
          <t>need after SS+RMD</t>
        </is>
      </c>
      <c r="Q1" s="72" t="inlineStr">
        <is>
          <t>taxable wd</t>
        </is>
      </c>
      <c r="R1" s="72" t="inlineStr">
        <is>
          <t>need after taxable</t>
        </is>
      </c>
      <c r="S1" s="72" t="inlineStr">
        <is>
          <t>trad available</t>
        </is>
      </c>
      <c r="T1" s="73" t="inlineStr">
        <is>
          <t>tss1</t>
        </is>
      </c>
      <c r="U1" s="73" t="inlineStr">
        <is>
          <t>G1</t>
        </is>
      </c>
      <c r="V1" s="73" t="inlineStr">
        <is>
          <t>tss2</t>
        </is>
      </c>
      <c r="W1" s="73" t="inlineStr">
        <is>
          <t>G2</t>
        </is>
      </c>
      <c r="X1" s="73" t="inlineStr">
        <is>
          <t>tss3</t>
        </is>
      </c>
      <c r="Y1" s="73" t="inlineStr">
        <is>
          <t>G3</t>
        </is>
      </c>
      <c r="Z1" s="73" t="inlineStr">
        <is>
          <t>tss4</t>
        </is>
      </c>
      <c r="AA1" s="73" t="inlineStr">
        <is>
          <t>G4</t>
        </is>
      </c>
      <c r="AB1" s="73" t="inlineStr">
        <is>
          <t>tss5</t>
        </is>
      </c>
      <c r="AC1" s="73" t="inlineStr">
        <is>
          <t>G5</t>
        </is>
      </c>
      <c r="AD1" s="73" t="inlineStr">
        <is>
          <t>tss6</t>
        </is>
      </c>
      <c r="AE1" s="73" t="inlineStr">
        <is>
          <t>G6</t>
        </is>
      </c>
      <c r="AF1" s="73" t="inlineStr">
        <is>
          <t>tss7</t>
        </is>
      </c>
      <c r="AG1" s="73" t="inlineStr">
        <is>
          <t>G7</t>
        </is>
      </c>
      <c r="AH1" s="73" t="inlineStr">
        <is>
          <t>tss8</t>
        </is>
      </c>
      <c r="AI1" s="73" t="inlineStr">
        <is>
          <t>G8</t>
        </is>
      </c>
      <c r="AJ1" s="73" t="inlineStr">
        <is>
          <t>tss9</t>
        </is>
      </c>
      <c r="AK1" s="73" t="inlineStr">
        <is>
          <t>G9</t>
        </is>
      </c>
      <c r="AL1" s="73" t="inlineStr">
        <is>
          <t>tss10</t>
        </is>
      </c>
      <c r="AM1" s="73" t="inlineStr">
        <is>
          <t>G10</t>
        </is>
      </c>
      <c r="AN1" s="73" t="inlineStr">
        <is>
          <t>tss11</t>
        </is>
      </c>
      <c r="AO1" s="73" t="inlineStr">
        <is>
          <t>G11</t>
        </is>
      </c>
      <c r="AP1" s="73" t="inlineStr">
        <is>
          <t>tss12</t>
        </is>
      </c>
      <c r="AQ1" s="73" t="inlineStr">
        <is>
          <t>G12</t>
        </is>
      </c>
      <c r="AR1" s="73" t="inlineStr">
        <is>
          <t>tss13</t>
        </is>
      </c>
      <c r="AS1" s="73" t="inlineStr">
        <is>
          <t>G13</t>
        </is>
      </c>
      <c r="AT1" s="73" t="inlineStr">
        <is>
          <t>tss14</t>
        </is>
      </c>
      <c r="AU1" s="73" t="inlineStr">
        <is>
          <t>G14</t>
        </is>
      </c>
      <c r="AV1" s="73" t="inlineStr">
        <is>
          <t>tss15</t>
        </is>
      </c>
      <c r="AW1" s="73" t="inlineStr">
        <is>
          <t>G15</t>
        </is>
      </c>
      <c r="AX1" s="73" t="inlineStr">
        <is>
          <t>tss16</t>
        </is>
      </c>
      <c r="AY1" s="73" t="inlineStr">
        <is>
          <t>G16</t>
        </is>
      </c>
      <c r="AZ1" s="73" t="inlineStr">
        <is>
          <t>tss17</t>
        </is>
      </c>
      <c r="BA1" s="73" t="inlineStr">
        <is>
          <t>G17</t>
        </is>
      </c>
      <c r="BB1" s="73" t="inlineStr">
        <is>
          <t>tss18</t>
        </is>
      </c>
      <c r="BC1" s="73" t="inlineStr">
        <is>
          <t>G18</t>
        </is>
      </c>
      <c r="BD1" s="73" t="inlineStr">
        <is>
          <t>tss19</t>
        </is>
      </c>
      <c r="BE1" s="73" t="inlineStr">
        <is>
          <t>G19</t>
        </is>
      </c>
      <c r="BF1" s="73" t="inlineStr">
        <is>
          <t>tss20</t>
        </is>
      </c>
      <c r="BG1" s="73" t="inlineStr">
        <is>
          <t>G20</t>
        </is>
      </c>
      <c r="BH1" s="73" t="inlineStr">
        <is>
          <t>tss21</t>
        </is>
      </c>
      <c r="BI1" s="73" t="inlineStr">
        <is>
          <t>G21</t>
        </is>
      </c>
      <c r="BJ1" s="73" t="inlineStr">
        <is>
          <t>tss22</t>
        </is>
      </c>
      <c r="BK1" s="73" t="inlineStr">
        <is>
          <t>G22</t>
        </is>
      </c>
      <c r="BL1" s="73" t="inlineStr">
        <is>
          <t>tss23</t>
        </is>
      </c>
      <c r="BM1" s="73" t="inlineStr">
        <is>
          <t>G23</t>
        </is>
      </c>
      <c r="BN1" s="73" t="inlineStr">
        <is>
          <t>tss24</t>
        </is>
      </c>
      <c r="BO1" s="73" t="inlineStr">
        <is>
          <t>G24</t>
        </is>
      </c>
      <c r="BP1" s="72" t="inlineStr">
        <is>
          <t>addl trad</t>
        </is>
      </c>
      <c r="BQ1" s="72" t="inlineStr">
        <is>
          <t>trad wd</t>
        </is>
      </c>
      <c r="BR1" s="72" t="inlineStr">
        <is>
          <t>tss final</t>
        </is>
      </c>
      <c r="BS1" s="72" t="inlineStr">
        <is>
          <t>ti final</t>
        </is>
      </c>
      <c r="BT1" s="72" t="inlineStr">
        <is>
          <t>federal tax</t>
        </is>
      </c>
      <c r="BU1" s="72" t="inlineStr">
        <is>
          <t>roth need</t>
        </is>
      </c>
      <c r="BV1" s="72" t="inlineStr">
        <is>
          <t>roth wd</t>
        </is>
      </c>
      <c r="BW1" s="72" t="inlineStr">
        <is>
          <t>gross cash</t>
        </is>
      </c>
      <c r="BX1" s="72" t="inlineStr">
        <is>
          <t>surplus</t>
        </is>
      </c>
      <c r="BY1" s="72" t="inlineStr">
        <is>
          <t>shortfall</t>
        </is>
      </c>
      <c r="BZ1" s="72" t="inlineStr">
        <is>
          <t>trad end</t>
        </is>
      </c>
      <c r="CA1" s="72" t="inlineStr">
        <is>
          <t>roth end</t>
        </is>
      </c>
      <c r="CB1" s="72" t="inlineStr">
        <is>
          <t>taxable end</t>
        </is>
      </c>
      <c r="CC1" s="72" t="inlineStr">
        <is>
          <t>portfolio end</t>
        </is>
      </c>
      <c r="CD1" s="72" t="inlineStr">
        <is>
          <t>dep flag</t>
        </is>
      </c>
    </row>
    <row r="2">
      <c r="A2" t="n">
        <v>0</v>
      </c>
      <c r="B2">
        <f>Tables!$B$13+A2</f>
        <v/>
      </c>
      <c r="C2">
        <f>IF(B2&lt;=Tables!$B$18,1,0)</f>
        <v/>
      </c>
      <c r="D2">
        <f>INDEX(Tables!$B$83:$B$123,A2+1)</f>
        <v/>
      </c>
      <c r="E2">
        <f>IF(A2=0,0,INDEX(Tables!$B$83:$B$123,A2))</f>
        <v/>
      </c>
      <c r="F2">
        <f>IF(AND(C2=1,Tables!$B$17="YES",A2&gt;0,E2&lt;Tables!$B$16),Tables!$B$15,0)</f>
        <v/>
      </c>
      <c r="G2">
        <f>IF(C2=0,0,Tables!$B$8-IF(B2&gt;=Tables!$B$7,Tables!$B$6,0)+IF(B2&lt;Tables!$B$27,Tables!$B$9,Tables!$B$10)-F2)</f>
        <v/>
      </c>
      <c r="H2">
        <f>IF(C2=0,0,IF(B2&gt;=Tables!$B$78,Tables!$D$78,0)+IF(B2&gt;=Tables!$C$78,Tables!$E$78,0))</f>
        <v/>
      </c>
      <c r="I2">
        <f>IF(C2=0,0,Tables!$B$3)</f>
        <v/>
      </c>
      <c r="J2">
        <f>IF(C2=0,0,Tables!$B$4)</f>
        <v/>
      </c>
      <c r="K2">
        <f>IF(C2=0,0,Tables!$B$5)</f>
        <v/>
      </c>
      <c r="L2">
        <f>IF(C2=0,0,IF(B2&gt;=Tables!$B$19,MIN(I2,I2/VLOOKUP(B2,Tables!$A$41:$B$61,2,FALSE)),0))</f>
        <v/>
      </c>
      <c r="M2">
        <f>IF(L2+0.5*H2&lt;=Tables!$B$24,0,IF(L2+0.5*H2&lt;=Tables!$B$25,MIN(0.5*H2,0.5*(L2+0.5*H2-Tables!$B$24)),MIN(0.85*H2,0.85*(L2+0.5*H2-Tables!$B$25)+MIN(Tables!$B$26,0.5*H2))))</f>
        <v/>
      </c>
      <c r="N2">
        <f>MAX(0,L2+M2-(Tables!$B$22+IF(B2&gt;=Tables!$B$27,2*Tables!$B$23,0)))</f>
        <v/>
      </c>
      <c r="O2">
        <f>SUMPRODUCT(((N2)&gt;Tables!$A$31:$A$37)*((N2)-Tables!$A$31:$A$37)*Tables!$C$31:$C$37)</f>
        <v/>
      </c>
      <c r="P2">
        <f>G2-(H2+L2-O2)</f>
        <v/>
      </c>
      <c r="Q2">
        <f>MIN(K2,MAX(0,P2))</f>
        <v/>
      </c>
      <c r="R2">
        <f>MAX(0,P2-Q2)</f>
        <v/>
      </c>
      <c r="S2">
        <f>MAX(0,I2-L2)</f>
        <v/>
      </c>
      <c r="T2">
        <f>IF((L2+R2)+0.5*H2&lt;=Tables!$B$24,0,IF((L2+R2)+0.5*H2&lt;=Tables!$B$25,MIN(0.5*H2,0.5*((L2+R2)+0.5*H2-Tables!$B$24)),MIN(0.85*H2,0.85*((L2+R2)+0.5*H2-Tables!$B$25)+MIN(Tables!$B$26,0.5*H2))))</f>
        <v/>
      </c>
      <c r="U2">
        <f>R2+SUMPRODUCT(((MAX(0,L2+R2+T2-(Tables!$B$22+IF(B2&gt;=Tables!$B$27,2*Tables!$B$23,0))))&gt;Tables!$A$31:$A$37)*((MAX(0,L2+R2+T2-(Tables!$B$22+IF(B2&gt;=Tables!$B$27,2*Tables!$B$23,0))))-Tables!$A$31:$A$37)*Tables!$C$31:$C$37)-O2</f>
        <v/>
      </c>
      <c r="V2">
        <f>IF((L2+U2)+0.5*H2&lt;=Tables!$B$24,0,IF((L2+U2)+0.5*H2&lt;=Tables!$B$25,MIN(0.5*H2,0.5*((L2+U2)+0.5*H2-Tables!$B$24)),MIN(0.85*H2,0.85*((L2+U2)+0.5*H2-Tables!$B$25)+MIN(Tables!$B$26,0.5*H2))))</f>
        <v/>
      </c>
      <c r="W2">
        <f>R2+SUMPRODUCT(((MAX(0,L2+U2+V2-(Tables!$B$22+IF(B2&gt;=Tables!$B$27,2*Tables!$B$23,0))))&gt;Tables!$A$31:$A$37)*((MAX(0,L2+U2+V2-(Tables!$B$22+IF(B2&gt;=Tables!$B$27,2*Tables!$B$23,0))))-Tables!$A$31:$A$37)*Tables!$C$31:$C$37)-O2</f>
        <v/>
      </c>
      <c r="X2">
        <f>IF((L2+W2)+0.5*H2&lt;=Tables!$B$24,0,IF((L2+W2)+0.5*H2&lt;=Tables!$B$25,MIN(0.5*H2,0.5*((L2+W2)+0.5*H2-Tables!$B$24)),MIN(0.85*H2,0.85*((L2+W2)+0.5*H2-Tables!$B$25)+MIN(Tables!$B$26,0.5*H2))))</f>
        <v/>
      </c>
      <c r="Y2">
        <f>R2+SUMPRODUCT(((MAX(0,L2+W2+X2-(Tables!$B$22+IF(B2&gt;=Tables!$B$27,2*Tables!$B$23,0))))&gt;Tables!$A$31:$A$37)*((MAX(0,L2+W2+X2-(Tables!$B$22+IF(B2&gt;=Tables!$B$27,2*Tables!$B$23,0))))-Tables!$A$31:$A$37)*Tables!$C$31:$C$37)-O2</f>
        <v/>
      </c>
      <c r="Z2">
        <f>IF((L2+Y2)+0.5*H2&lt;=Tables!$B$24,0,IF((L2+Y2)+0.5*H2&lt;=Tables!$B$25,MIN(0.5*H2,0.5*((L2+Y2)+0.5*H2-Tables!$B$24)),MIN(0.85*H2,0.85*((L2+Y2)+0.5*H2-Tables!$B$25)+MIN(Tables!$B$26,0.5*H2))))</f>
        <v/>
      </c>
      <c r="AA2">
        <f>R2+SUMPRODUCT(((MAX(0,L2+Y2+Z2-(Tables!$B$22+IF(B2&gt;=Tables!$B$27,2*Tables!$B$23,0))))&gt;Tables!$A$31:$A$37)*((MAX(0,L2+Y2+Z2-(Tables!$B$22+IF(B2&gt;=Tables!$B$27,2*Tables!$B$23,0))))-Tables!$A$31:$A$37)*Tables!$C$31:$C$37)-O2</f>
        <v/>
      </c>
      <c r="AB2">
        <f>IF((L2+AA2)+0.5*H2&lt;=Tables!$B$24,0,IF((L2+AA2)+0.5*H2&lt;=Tables!$B$25,MIN(0.5*H2,0.5*((L2+AA2)+0.5*H2-Tables!$B$24)),MIN(0.85*H2,0.85*((L2+AA2)+0.5*H2-Tables!$B$25)+MIN(Tables!$B$26,0.5*H2))))</f>
        <v/>
      </c>
      <c r="AC2">
        <f>R2+SUMPRODUCT(((MAX(0,L2+AA2+AB2-(Tables!$B$22+IF(B2&gt;=Tables!$B$27,2*Tables!$B$23,0))))&gt;Tables!$A$31:$A$37)*((MAX(0,L2+AA2+AB2-(Tables!$B$22+IF(B2&gt;=Tables!$B$27,2*Tables!$B$23,0))))-Tables!$A$31:$A$37)*Tables!$C$31:$C$37)-O2</f>
        <v/>
      </c>
      <c r="AD2">
        <f>IF((L2+AC2)+0.5*H2&lt;=Tables!$B$24,0,IF((L2+AC2)+0.5*H2&lt;=Tables!$B$25,MIN(0.5*H2,0.5*((L2+AC2)+0.5*H2-Tables!$B$24)),MIN(0.85*H2,0.85*((L2+AC2)+0.5*H2-Tables!$B$25)+MIN(Tables!$B$26,0.5*H2))))</f>
        <v/>
      </c>
      <c r="AE2">
        <f>R2+SUMPRODUCT(((MAX(0,L2+AC2+AD2-(Tables!$B$22+IF(B2&gt;=Tables!$B$27,2*Tables!$B$23,0))))&gt;Tables!$A$31:$A$37)*((MAX(0,L2+AC2+AD2-(Tables!$B$22+IF(B2&gt;=Tables!$B$27,2*Tables!$B$23,0))))-Tables!$A$31:$A$37)*Tables!$C$31:$C$37)-O2</f>
        <v/>
      </c>
      <c r="AF2">
        <f>IF((L2+AE2)+0.5*H2&lt;=Tables!$B$24,0,IF((L2+AE2)+0.5*H2&lt;=Tables!$B$25,MIN(0.5*H2,0.5*((L2+AE2)+0.5*H2-Tables!$B$24)),MIN(0.85*H2,0.85*((L2+AE2)+0.5*H2-Tables!$B$25)+MIN(Tables!$B$26,0.5*H2))))</f>
        <v/>
      </c>
      <c r="AG2">
        <f>R2+SUMPRODUCT(((MAX(0,L2+AE2+AF2-(Tables!$B$22+IF(B2&gt;=Tables!$B$27,2*Tables!$B$23,0))))&gt;Tables!$A$31:$A$37)*((MAX(0,L2+AE2+AF2-(Tables!$B$22+IF(B2&gt;=Tables!$B$27,2*Tables!$B$23,0))))-Tables!$A$31:$A$37)*Tables!$C$31:$C$37)-O2</f>
        <v/>
      </c>
      <c r="AH2">
        <f>IF((L2+AG2)+0.5*H2&lt;=Tables!$B$24,0,IF((L2+AG2)+0.5*H2&lt;=Tables!$B$25,MIN(0.5*H2,0.5*((L2+AG2)+0.5*H2-Tables!$B$24)),MIN(0.85*H2,0.85*((L2+AG2)+0.5*H2-Tables!$B$25)+MIN(Tables!$B$26,0.5*H2))))</f>
        <v/>
      </c>
      <c r="AI2">
        <f>R2+SUMPRODUCT(((MAX(0,L2+AG2+AH2-(Tables!$B$22+IF(B2&gt;=Tables!$B$27,2*Tables!$B$23,0))))&gt;Tables!$A$31:$A$37)*((MAX(0,L2+AG2+AH2-(Tables!$B$22+IF(B2&gt;=Tables!$B$27,2*Tables!$B$23,0))))-Tables!$A$31:$A$37)*Tables!$C$31:$C$37)-O2</f>
        <v/>
      </c>
      <c r="AJ2">
        <f>IF((L2+AI2)+0.5*H2&lt;=Tables!$B$24,0,IF((L2+AI2)+0.5*H2&lt;=Tables!$B$25,MIN(0.5*H2,0.5*((L2+AI2)+0.5*H2-Tables!$B$24)),MIN(0.85*H2,0.85*((L2+AI2)+0.5*H2-Tables!$B$25)+MIN(Tables!$B$26,0.5*H2))))</f>
        <v/>
      </c>
      <c r="AK2">
        <f>R2+SUMPRODUCT(((MAX(0,L2+AI2+AJ2-(Tables!$B$22+IF(B2&gt;=Tables!$B$27,2*Tables!$B$23,0))))&gt;Tables!$A$31:$A$37)*((MAX(0,L2+AI2+AJ2-(Tables!$B$22+IF(B2&gt;=Tables!$B$27,2*Tables!$B$23,0))))-Tables!$A$31:$A$37)*Tables!$C$31:$C$37)-O2</f>
        <v/>
      </c>
      <c r="AL2">
        <f>IF((L2+AK2)+0.5*H2&lt;=Tables!$B$24,0,IF((L2+AK2)+0.5*H2&lt;=Tables!$B$25,MIN(0.5*H2,0.5*((L2+AK2)+0.5*H2-Tables!$B$24)),MIN(0.85*H2,0.85*((L2+AK2)+0.5*H2-Tables!$B$25)+MIN(Tables!$B$26,0.5*H2))))</f>
        <v/>
      </c>
      <c r="AM2">
        <f>R2+SUMPRODUCT(((MAX(0,L2+AK2+AL2-(Tables!$B$22+IF(B2&gt;=Tables!$B$27,2*Tables!$B$23,0))))&gt;Tables!$A$31:$A$37)*((MAX(0,L2+AK2+AL2-(Tables!$B$22+IF(B2&gt;=Tables!$B$27,2*Tables!$B$23,0))))-Tables!$A$31:$A$37)*Tables!$C$31:$C$37)-O2</f>
        <v/>
      </c>
      <c r="AN2">
        <f>IF((L2+AM2)+0.5*H2&lt;=Tables!$B$24,0,IF((L2+AM2)+0.5*H2&lt;=Tables!$B$25,MIN(0.5*H2,0.5*((L2+AM2)+0.5*H2-Tables!$B$24)),MIN(0.85*H2,0.85*((L2+AM2)+0.5*H2-Tables!$B$25)+MIN(Tables!$B$26,0.5*H2))))</f>
        <v/>
      </c>
      <c r="AO2">
        <f>R2+SUMPRODUCT(((MAX(0,L2+AM2+AN2-(Tables!$B$22+IF(B2&gt;=Tables!$B$27,2*Tables!$B$23,0))))&gt;Tables!$A$31:$A$37)*((MAX(0,L2+AM2+AN2-(Tables!$B$22+IF(B2&gt;=Tables!$B$27,2*Tables!$B$23,0))))-Tables!$A$31:$A$37)*Tables!$C$31:$C$37)-O2</f>
        <v/>
      </c>
      <c r="AP2">
        <f>IF((L2+AO2)+0.5*H2&lt;=Tables!$B$24,0,IF((L2+AO2)+0.5*H2&lt;=Tables!$B$25,MIN(0.5*H2,0.5*((L2+AO2)+0.5*H2-Tables!$B$24)),MIN(0.85*H2,0.85*((L2+AO2)+0.5*H2-Tables!$B$25)+MIN(Tables!$B$26,0.5*H2))))</f>
        <v/>
      </c>
      <c r="AQ2">
        <f>R2+SUMPRODUCT(((MAX(0,L2+AO2+AP2-(Tables!$B$22+IF(B2&gt;=Tables!$B$27,2*Tables!$B$23,0))))&gt;Tables!$A$31:$A$37)*((MAX(0,L2+AO2+AP2-(Tables!$B$22+IF(B2&gt;=Tables!$B$27,2*Tables!$B$23,0))))-Tables!$A$31:$A$37)*Tables!$C$31:$C$37)-O2</f>
        <v/>
      </c>
      <c r="AR2">
        <f>IF((L2+AQ2)+0.5*H2&lt;=Tables!$B$24,0,IF((L2+AQ2)+0.5*H2&lt;=Tables!$B$25,MIN(0.5*H2,0.5*((L2+AQ2)+0.5*H2-Tables!$B$24)),MIN(0.85*H2,0.85*((L2+AQ2)+0.5*H2-Tables!$B$25)+MIN(Tables!$B$26,0.5*H2))))</f>
        <v/>
      </c>
      <c r="AS2">
        <f>R2+SUMPRODUCT(((MAX(0,L2+AQ2+AR2-(Tables!$B$22+IF(B2&gt;=Tables!$B$27,2*Tables!$B$23,0))))&gt;Tables!$A$31:$A$37)*((MAX(0,L2+AQ2+AR2-(Tables!$B$22+IF(B2&gt;=Tables!$B$27,2*Tables!$B$23,0))))-Tables!$A$31:$A$37)*Tables!$C$31:$C$37)-O2</f>
        <v/>
      </c>
      <c r="AT2">
        <f>IF((L2+AS2)+0.5*H2&lt;=Tables!$B$24,0,IF((L2+AS2)+0.5*H2&lt;=Tables!$B$25,MIN(0.5*H2,0.5*((L2+AS2)+0.5*H2-Tables!$B$24)),MIN(0.85*H2,0.85*((L2+AS2)+0.5*H2-Tables!$B$25)+MIN(Tables!$B$26,0.5*H2))))</f>
        <v/>
      </c>
      <c r="AU2">
        <f>R2+SUMPRODUCT(((MAX(0,L2+AS2+AT2-(Tables!$B$22+IF(B2&gt;=Tables!$B$27,2*Tables!$B$23,0))))&gt;Tables!$A$31:$A$37)*((MAX(0,L2+AS2+AT2-(Tables!$B$22+IF(B2&gt;=Tables!$B$27,2*Tables!$B$23,0))))-Tables!$A$31:$A$37)*Tables!$C$31:$C$37)-O2</f>
        <v/>
      </c>
      <c r="AV2">
        <f>IF((L2+AU2)+0.5*H2&lt;=Tables!$B$24,0,IF((L2+AU2)+0.5*H2&lt;=Tables!$B$25,MIN(0.5*H2,0.5*((L2+AU2)+0.5*H2-Tables!$B$24)),MIN(0.85*H2,0.85*((L2+AU2)+0.5*H2-Tables!$B$25)+MIN(Tables!$B$26,0.5*H2))))</f>
        <v/>
      </c>
      <c r="AW2">
        <f>R2+SUMPRODUCT(((MAX(0,L2+AU2+AV2-(Tables!$B$22+IF(B2&gt;=Tables!$B$27,2*Tables!$B$23,0))))&gt;Tables!$A$31:$A$37)*((MAX(0,L2+AU2+AV2-(Tables!$B$22+IF(B2&gt;=Tables!$B$27,2*Tables!$B$23,0))))-Tables!$A$31:$A$37)*Tables!$C$31:$C$37)-O2</f>
        <v/>
      </c>
      <c r="AX2">
        <f>IF((L2+AW2)+0.5*H2&lt;=Tables!$B$24,0,IF((L2+AW2)+0.5*H2&lt;=Tables!$B$25,MIN(0.5*H2,0.5*((L2+AW2)+0.5*H2-Tables!$B$24)),MIN(0.85*H2,0.85*((L2+AW2)+0.5*H2-Tables!$B$25)+MIN(Tables!$B$26,0.5*H2))))</f>
        <v/>
      </c>
      <c r="AY2">
        <f>R2+SUMPRODUCT(((MAX(0,L2+AW2+AX2-(Tables!$B$22+IF(B2&gt;=Tables!$B$27,2*Tables!$B$23,0))))&gt;Tables!$A$31:$A$37)*((MAX(0,L2+AW2+AX2-(Tables!$B$22+IF(B2&gt;=Tables!$B$27,2*Tables!$B$23,0))))-Tables!$A$31:$A$37)*Tables!$C$31:$C$37)-O2</f>
        <v/>
      </c>
      <c r="AZ2">
        <f>IF((L2+AY2)+0.5*H2&lt;=Tables!$B$24,0,IF((L2+AY2)+0.5*H2&lt;=Tables!$B$25,MIN(0.5*H2,0.5*((L2+AY2)+0.5*H2-Tables!$B$24)),MIN(0.85*H2,0.85*((L2+AY2)+0.5*H2-Tables!$B$25)+MIN(Tables!$B$26,0.5*H2))))</f>
        <v/>
      </c>
      <c r="BA2">
        <f>R2+SUMPRODUCT(((MAX(0,L2+AY2+AZ2-(Tables!$B$22+IF(B2&gt;=Tables!$B$27,2*Tables!$B$23,0))))&gt;Tables!$A$31:$A$37)*((MAX(0,L2+AY2+AZ2-(Tables!$B$22+IF(B2&gt;=Tables!$B$27,2*Tables!$B$23,0))))-Tables!$A$31:$A$37)*Tables!$C$31:$C$37)-O2</f>
        <v/>
      </c>
      <c r="BB2">
        <f>IF((L2+BA2)+0.5*H2&lt;=Tables!$B$24,0,IF((L2+BA2)+0.5*H2&lt;=Tables!$B$25,MIN(0.5*H2,0.5*((L2+BA2)+0.5*H2-Tables!$B$24)),MIN(0.85*H2,0.85*((L2+BA2)+0.5*H2-Tables!$B$25)+MIN(Tables!$B$26,0.5*H2))))</f>
        <v/>
      </c>
      <c r="BC2">
        <f>R2+SUMPRODUCT(((MAX(0,L2+BA2+BB2-(Tables!$B$22+IF(B2&gt;=Tables!$B$27,2*Tables!$B$23,0))))&gt;Tables!$A$31:$A$37)*((MAX(0,L2+BA2+BB2-(Tables!$B$22+IF(B2&gt;=Tables!$B$27,2*Tables!$B$23,0))))-Tables!$A$31:$A$37)*Tables!$C$31:$C$37)-O2</f>
        <v/>
      </c>
      <c r="BD2">
        <f>IF((L2+BC2)+0.5*H2&lt;=Tables!$B$24,0,IF((L2+BC2)+0.5*H2&lt;=Tables!$B$25,MIN(0.5*H2,0.5*((L2+BC2)+0.5*H2-Tables!$B$24)),MIN(0.85*H2,0.85*((L2+BC2)+0.5*H2-Tables!$B$25)+MIN(Tables!$B$26,0.5*H2))))</f>
        <v/>
      </c>
      <c r="BE2">
        <f>R2+SUMPRODUCT(((MAX(0,L2+BC2+BD2-(Tables!$B$22+IF(B2&gt;=Tables!$B$27,2*Tables!$B$23,0))))&gt;Tables!$A$31:$A$37)*((MAX(0,L2+BC2+BD2-(Tables!$B$22+IF(B2&gt;=Tables!$B$27,2*Tables!$B$23,0))))-Tables!$A$31:$A$37)*Tables!$C$31:$C$37)-O2</f>
        <v/>
      </c>
      <c r="BF2">
        <f>IF((L2+BE2)+0.5*H2&lt;=Tables!$B$24,0,IF((L2+BE2)+0.5*H2&lt;=Tables!$B$25,MIN(0.5*H2,0.5*((L2+BE2)+0.5*H2-Tables!$B$24)),MIN(0.85*H2,0.85*((L2+BE2)+0.5*H2-Tables!$B$25)+MIN(Tables!$B$26,0.5*H2))))</f>
        <v/>
      </c>
      <c r="BG2">
        <f>R2+SUMPRODUCT(((MAX(0,L2+BE2+BF2-(Tables!$B$22+IF(B2&gt;=Tables!$B$27,2*Tables!$B$23,0))))&gt;Tables!$A$31:$A$37)*((MAX(0,L2+BE2+BF2-(Tables!$B$22+IF(B2&gt;=Tables!$B$27,2*Tables!$B$23,0))))-Tables!$A$31:$A$37)*Tables!$C$31:$C$37)-O2</f>
        <v/>
      </c>
      <c r="BH2">
        <f>IF((L2+BG2)+0.5*H2&lt;=Tables!$B$24,0,IF((L2+BG2)+0.5*H2&lt;=Tables!$B$25,MIN(0.5*H2,0.5*((L2+BG2)+0.5*H2-Tables!$B$24)),MIN(0.85*H2,0.85*((L2+BG2)+0.5*H2-Tables!$B$25)+MIN(Tables!$B$26,0.5*H2))))</f>
        <v/>
      </c>
      <c r="BI2">
        <f>R2+SUMPRODUCT(((MAX(0,L2+BG2+BH2-(Tables!$B$22+IF(B2&gt;=Tables!$B$27,2*Tables!$B$23,0))))&gt;Tables!$A$31:$A$37)*((MAX(0,L2+BG2+BH2-(Tables!$B$22+IF(B2&gt;=Tables!$B$27,2*Tables!$B$23,0))))-Tables!$A$31:$A$37)*Tables!$C$31:$C$37)-O2</f>
        <v/>
      </c>
      <c r="BJ2">
        <f>IF((L2+BI2)+0.5*H2&lt;=Tables!$B$24,0,IF((L2+BI2)+0.5*H2&lt;=Tables!$B$25,MIN(0.5*H2,0.5*((L2+BI2)+0.5*H2-Tables!$B$24)),MIN(0.85*H2,0.85*((L2+BI2)+0.5*H2-Tables!$B$25)+MIN(Tables!$B$26,0.5*H2))))</f>
        <v/>
      </c>
      <c r="BK2">
        <f>R2+SUMPRODUCT(((MAX(0,L2+BI2+BJ2-(Tables!$B$22+IF(B2&gt;=Tables!$B$27,2*Tables!$B$23,0))))&gt;Tables!$A$31:$A$37)*((MAX(0,L2+BI2+BJ2-(Tables!$B$22+IF(B2&gt;=Tables!$B$27,2*Tables!$B$23,0))))-Tables!$A$31:$A$37)*Tables!$C$31:$C$37)-O2</f>
        <v/>
      </c>
      <c r="BL2">
        <f>IF((L2+BK2)+0.5*H2&lt;=Tables!$B$24,0,IF((L2+BK2)+0.5*H2&lt;=Tables!$B$25,MIN(0.5*H2,0.5*((L2+BK2)+0.5*H2-Tables!$B$24)),MIN(0.85*H2,0.85*((L2+BK2)+0.5*H2-Tables!$B$25)+MIN(Tables!$B$26,0.5*H2))))</f>
        <v/>
      </c>
      <c r="BM2">
        <f>R2+SUMPRODUCT(((MAX(0,L2+BK2+BL2-(Tables!$B$22+IF(B2&gt;=Tables!$B$27,2*Tables!$B$23,0))))&gt;Tables!$A$31:$A$37)*((MAX(0,L2+BK2+BL2-(Tables!$B$22+IF(B2&gt;=Tables!$B$27,2*Tables!$B$23,0))))-Tables!$A$31:$A$37)*Tables!$C$31:$C$37)-O2</f>
        <v/>
      </c>
      <c r="BN2">
        <f>IF((L2+BM2)+0.5*H2&lt;=Tables!$B$24,0,IF((L2+BM2)+0.5*H2&lt;=Tables!$B$25,MIN(0.5*H2,0.5*((L2+BM2)+0.5*H2-Tables!$B$24)),MIN(0.85*H2,0.85*((L2+BM2)+0.5*H2-Tables!$B$25)+MIN(Tables!$B$26,0.5*H2))))</f>
        <v/>
      </c>
      <c r="BO2">
        <f>R2+SUMPRODUCT(((MAX(0,L2+BM2+BN2-(Tables!$B$22+IF(B2&gt;=Tables!$B$27,2*Tables!$B$23,0))))&gt;Tables!$A$31:$A$37)*((MAX(0,L2+BM2+BN2-(Tables!$B$22+IF(B2&gt;=Tables!$B$27,2*Tables!$B$23,0))))-Tables!$A$31:$A$37)*Tables!$C$31:$C$37)-O2</f>
        <v/>
      </c>
      <c r="BP2">
        <f>MIN(BO2,S2)</f>
        <v/>
      </c>
      <c r="BQ2">
        <f>L2+BP2</f>
        <v/>
      </c>
      <c r="BR2">
        <f>IF(BQ2+0.5*H2&lt;=Tables!$B$24,0,IF(BQ2+0.5*H2&lt;=Tables!$B$25,MIN(0.5*H2,0.5*(BQ2+0.5*H2-Tables!$B$24)),MIN(0.85*H2,0.85*(BQ2+0.5*H2-Tables!$B$25)+MIN(Tables!$B$26,0.5*H2))))</f>
        <v/>
      </c>
      <c r="BS2">
        <f>MAX(0,BQ2+BR2-(Tables!$B$22+IF(B2&gt;=Tables!$B$27,2*Tables!$B$23,0)))</f>
        <v/>
      </c>
      <c r="BT2">
        <f>SUMPRODUCT(((BS2)&gt;Tables!$A$31:$A$37)*((BS2)-Tables!$A$31:$A$37)*Tables!$C$31:$C$37)</f>
        <v/>
      </c>
      <c r="BU2">
        <f>MAX(0,G2-(H2+BQ2+Q2-BT2))</f>
        <v/>
      </c>
      <c r="BV2">
        <f>MIN(J2,BU2)</f>
        <v/>
      </c>
      <c r="BW2">
        <f>H2+BQ2+Q2+BV2</f>
        <v/>
      </c>
      <c r="BX2">
        <f>MAX(0,BW2-G2-BT2)</f>
        <v/>
      </c>
      <c r="BY2">
        <f>MAX(0,G2+BT2-BW2)</f>
        <v/>
      </c>
      <c r="BZ2">
        <f>IF(C2=0,0,MAX(0,I2-BQ2)*(1+D2))</f>
        <v/>
      </c>
      <c r="CA2">
        <f>IF(C2=0,0,MAX(0,J2-BV2)*(1+D2))</f>
        <v/>
      </c>
      <c r="CB2">
        <f>IF(C2=0,0,MAX(0,K2-Q2+BX2)*(1+D2))</f>
        <v/>
      </c>
      <c r="CC2">
        <f>BZ2+CA2+CB2</f>
        <v/>
      </c>
      <c r="CD2">
        <f>IF(C2=0,9999,IF(OR(BY2&gt;0.0001,CC2&lt;=0.0001),B2,9999))</f>
        <v/>
      </c>
    </row>
    <row r="3">
      <c r="A3" t="n">
        <v>1</v>
      </c>
      <c r="B3">
        <f>Tables!$B$13+A3</f>
        <v/>
      </c>
      <c r="C3">
        <f>IF(B3&lt;=Tables!$B$18,1,0)</f>
        <v/>
      </c>
      <c r="D3">
        <f>INDEX(Tables!$B$83:$B$123,A3+1)</f>
        <v/>
      </c>
      <c r="E3">
        <f>IF(A3=0,0,INDEX(Tables!$B$83:$B$123,A3))</f>
        <v/>
      </c>
      <c r="F3">
        <f>IF(AND(C3=1,Tables!$B$17="YES",A3&gt;0,E3&lt;Tables!$B$16),Tables!$B$15,0)</f>
        <v/>
      </c>
      <c r="G3">
        <f>IF(C3=0,0,Tables!$B$8-IF(B3&gt;=Tables!$B$7,Tables!$B$6,0)+IF(B3&lt;Tables!$B$27,Tables!$B$9,Tables!$B$10)-F3)</f>
        <v/>
      </c>
      <c r="H3">
        <f>IF(C3=0,0,IF(B3&gt;=Tables!$B$78,Tables!$D$78,0)+IF(B3&gt;=Tables!$C$78,Tables!$E$78,0))</f>
        <v/>
      </c>
      <c r="I3">
        <f>IF(C3=0,0,BZ2)</f>
        <v/>
      </c>
      <c r="J3">
        <f>IF(C3=0,0,CA2)</f>
        <v/>
      </c>
      <c r="K3">
        <f>IF(C3=0,0,CB2)</f>
        <v/>
      </c>
      <c r="L3">
        <f>IF(C3=0,0,IF(B3&gt;=Tables!$B$19,MIN(I3,I3/VLOOKUP(B3,Tables!$A$41:$B$61,2,FALSE)),0))</f>
        <v/>
      </c>
      <c r="M3">
        <f>IF(L3+0.5*H3&lt;=Tables!$B$24,0,IF(L3+0.5*H3&lt;=Tables!$B$25,MIN(0.5*H3,0.5*(L3+0.5*H3-Tables!$B$24)),MIN(0.85*H3,0.85*(L3+0.5*H3-Tables!$B$25)+MIN(Tables!$B$26,0.5*H3))))</f>
        <v/>
      </c>
      <c r="N3">
        <f>MAX(0,L3+M3-(Tables!$B$22+IF(B3&gt;=Tables!$B$27,2*Tables!$B$23,0)))</f>
        <v/>
      </c>
      <c r="O3">
        <f>SUMPRODUCT(((N3)&gt;Tables!$A$31:$A$37)*((N3)-Tables!$A$31:$A$37)*Tables!$C$31:$C$37)</f>
        <v/>
      </c>
      <c r="P3">
        <f>G3-(H3+L3-O3)</f>
        <v/>
      </c>
      <c r="Q3">
        <f>MIN(K3,MAX(0,P3))</f>
        <v/>
      </c>
      <c r="R3">
        <f>MAX(0,P3-Q3)</f>
        <v/>
      </c>
      <c r="S3">
        <f>MAX(0,I3-L3)</f>
        <v/>
      </c>
      <c r="T3">
        <f>IF((L3+R3)+0.5*H3&lt;=Tables!$B$24,0,IF((L3+R3)+0.5*H3&lt;=Tables!$B$25,MIN(0.5*H3,0.5*((L3+R3)+0.5*H3-Tables!$B$24)),MIN(0.85*H3,0.85*((L3+R3)+0.5*H3-Tables!$B$25)+MIN(Tables!$B$26,0.5*H3))))</f>
        <v/>
      </c>
      <c r="U3">
        <f>R3+SUMPRODUCT(((MAX(0,L3+R3+T3-(Tables!$B$22+IF(B3&gt;=Tables!$B$27,2*Tables!$B$23,0))))&gt;Tables!$A$31:$A$37)*((MAX(0,L3+R3+T3-(Tables!$B$22+IF(B3&gt;=Tables!$B$27,2*Tables!$B$23,0))))-Tables!$A$31:$A$37)*Tables!$C$31:$C$37)-O3</f>
        <v/>
      </c>
      <c r="V3">
        <f>IF((L3+U3)+0.5*H3&lt;=Tables!$B$24,0,IF((L3+U3)+0.5*H3&lt;=Tables!$B$25,MIN(0.5*H3,0.5*((L3+U3)+0.5*H3-Tables!$B$24)),MIN(0.85*H3,0.85*((L3+U3)+0.5*H3-Tables!$B$25)+MIN(Tables!$B$26,0.5*H3))))</f>
        <v/>
      </c>
      <c r="W3">
        <f>R3+SUMPRODUCT(((MAX(0,L3+U3+V3-(Tables!$B$22+IF(B3&gt;=Tables!$B$27,2*Tables!$B$23,0))))&gt;Tables!$A$31:$A$37)*((MAX(0,L3+U3+V3-(Tables!$B$22+IF(B3&gt;=Tables!$B$27,2*Tables!$B$23,0))))-Tables!$A$31:$A$37)*Tables!$C$31:$C$37)-O3</f>
        <v/>
      </c>
      <c r="X3">
        <f>IF((L3+W3)+0.5*H3&lt;=Tables!$B$24,0,IF((L3+W3)+0.5*H3&lt;=Tables!$B$25,MIN(0.5*H3,0.5*((L3+W3)+0.5*H3-Tables!$B$24)),MIN(0.85*H3,0.85*((L3+W3)+0.5*H3-Tables!$B$25)+MIN(Tables!$B$26,0.5*H3))))</f>
        <v/>
      </c>
      <c r="Y3">
        <f>R3+SUMPRODUCT(((MAX(0,L3+W3+X3-(Tables!$B$22+IF(B3&gt;=Tables!$B$27,2*Tables!$B$23,0))))&gt;Tables!$A$31:$A$37)*((MAX(0,L3+W3+X3-(Tables!$B$22+IF(B3&gt;=Tables!$B$27,2*Tables!$B$23,0))))-Tables!$A$31:$A$37)*Tables!$C$31:$C$37)-O3</f>
        <v/>
      </c>
      <c r="Z3">
        <f>IF((L3+Y3)+0.5*H3&lt;=Tables!$B$24,0,IF((L3+Y3)+0.5*H3&lt;=Tables!$B$25,MIN(0.5*H3,0.5*((L3+Y3)+0.5*H3-Tables!$B$24)),MIN(0.85*H3,0.85*((L3+Y3)+0.5*H3-Tables!$B$25)+MIN(Tables!$B$26,0.5*H3))))</f>
        <v/>
      </c>
      <c r="AA3">
        <f>R3+SUMPRODUCT(((MAX(0,L3+Y3+Z3-(Tables!$B$22+IF(B3&gt;=Tables!$B$27,2*Tables!$B$23,0))))&gt;Tables!$A$31:$A$37)*((MAX(0,L3+Y3+Z3-(Tables!$B$22+IF(B3&gt;=Tables!$B$27,2*Tables!$B$23,0))))-Tables!$A$31:$A$37)*Tables!$C$31:$C$37)-O3</f>
        <v/>
      </c>
      <c r="AB3">
        <f>IF((L3+AA3)+0.5*H3&lt;=Tables!$B$24,0,IF((L3+AA3)+0.5*H3&lt;=Tables!$B$25,MIN(0.5*H3,0.5*((L3+AA3)+0.5*H3-Tables!$B$24)),MIN(0.85*H3,0.85*((L3+AA3)+0.5*H3-Tables!$B$25)+MIN(Tables!$B$26,0.5*H3))))</f>
        <v/>
      </c>
      <c r="AC3">
        <f>R3+SUMPRODUCT(((MAX(0,L3+AA3+AB3-(Tables!$B$22+IF(B3&gt;=Tables!$B$27,2*Tables!$B$23,0))))&gt;Tables!$A$31:$A$37)*((MAX(0,L3+AA3+AB3-(Tables!$B$22+IF(B3&gt;=Tables!$B$27,2*Tables!$B$23,0))))-Tables!$A$31:$A$37)*Tables!$C$31:$C$37)-O3</f>
        <v/>
      </c>
      <c r="AD3">
        <f>IF((L3+AC3)+0.5*H3&lt;=Tables!$B$24,0,IF((L3+AC3)+0.5*H3&lt;=Tables!$B$25,MIN(0.5*H3,0.5*((L3+AC3)+0.5*H3-Tables!$B$24)),MIN(0.85*H3,0.85*((L3+AC3)+0.5*H3-Tables!$B$25)+MIN(Tables!$B$26,0.5*H3))))</f>
        <v/>
      </c>
      <c r="AE3">
        <f>R3+SUMPRODUCT(((MAX(0,L3+AC3+AD3-(Tables!$B$22+IF(B3&gt;=Tables!$B$27,2*Tables!$B$23,0))))&gt;Tables!$A$31:$A$37)*((MAX(0,L3+AC3+AD3-(Tables!$B$22+IF(B3&gt;=Tables!$B$27,2*Tables!$B$23,0))))-Tables!$A$31:$A$37)*Tables!$C$31:$C$37)-O3</f>
        <v/>
      </c>
      <c r="AF3">
        <f>IF((L3+AE3)+0.5*H3&lt;=Tables!$B$24,0,IF((L3+AE3)+0.5*H3&lt;=Tables!$B$25,MIN(0.5*H3,0.5*((L3+AE3)+0.5*H3-Tables!$B$24)),MIN(0.85*H3,0.85*((L3+AE3)+0.5*H3-Tables!$B$25)+MIN(Tables!$B$26,0.5*H3))))</f>
        <v/>
      </c>
      <c r="AG3">
        <f>R3+SUMPRODUCT(((MAX(0,L3+AE3+AF3-(Tables!$B$22+IF(B3&gt;=Tables!$B$27,2*Tables!$B$23,0))))&gt;Tables!$A$31:$A$37)*((MAX(0,L3+AE3+AF3-(Tables!$B$22+IF(B3&gt;=Tables!$B$27,2*Tables!$B$23,0))))-Tables!$A$31:$A$37)*Tables!$C$31:$C$37)-O3</f>
        <v/>
      </c>
      <c r="AH3">
        <f>IF((L3+AG3)+0.5*H3&lt;=Tables!$B$24,0,IF((L3+AG3)+0.5*H3&lt;=Tables!$B$25,MIN(0.5*H3,0.5*((L3+AG3)+0.5*H3-Tables!$B$24)),MIN(0.85*H3,0.85*((L3+AG3)+0.5*H3-Tables!$B$25)+MIN(Tables!$B$26,0.5*H3))))</f>
        <v/>
      </c>
      <c r="AI3">
        <f>R3+SUMPRODUCT(((MAX(0,L3+AG3+AH3-(Tables!$B$22+IF(B3&gt;=Tables!$B$27,2*Tables!$B$23,0))))&gt;Tables!$A$31:$A$37)*((MAX(0,L3+AG3+AH3-(Tables!$B$22+IF(B3&gt;=Tables!$B$27,2*Tables!$B$23,0))))-Tables!$A$31:$A$37)*Tables!$C$31:$C$37)-O3</f>
        <v/>
      </c>
      <c r="AJ3">
        <f>IF((L3+AI3)+0.5*H3&lt;=Tables!$B$24,0,IF((L3+AI3)+0.5*H3&lt;=Tables!$B$25,MIN(0.5*H3,0.5*((L3+AI3)+0.5*H3-Tables!$B$24)),MIN(0.85*H3,0.85*((L3+AI3)+0.5*H3-Tables!$B$25)+MIN(Tables!$B$26,0.5*H3))))</f>
        <v/>
      </c>
      <c r="AK3">
        <f>R3+SUMPRODUCT(((MAX(0,L3+AI3+AJ3-(Tables!$B$22+IF(B3&gt;=Tables!$B$27,2*Tables!$B$23,0))))&gt;Tables!$A$31:$A$37)*((MAX(0,L3+AI3+AJ3-(Tables!$B$22+IF(B3&gt;=Tables!$B$27,2*Tables!$B$23,0))))-Tables!$A$31:$A$37)*Tables!$C$31:$C$37)-O3</f>
        <v/>
      </c>
      <c r="AL3">
        <f>IF((L3+AK3)+0.5*H3&lt;=Tables!$B$24,0,IF((L3+AK3)+0.5*H3&lt;=Tables!$B$25,MIN(0.5*H3,0.5*((L3+AK3)+0.5*H3-Tables!$B$24)),MIN(0.85*H3,0.85*((L3+AK3)+0.5*H3-Tables!$B$25)+MIN(Tables!$B$26,0.5*H3))))</f>
        <v/>
      </c>
      <c r="AM3">
        <f>R3+SUMPRODUCT(((MAX(0,L3+AK3+AL3-(Tables!$B$22+IF(B3&gt;=Tables!$B$27,2*Tables!$B$23,0))))&gt;Tables!$A$31:$A$37)*((MAX(0,L3+AK3+AL3-(Tables!$B$22+IF(B3&gt;=Tables!$B$27,2*Tables!$B$23,0))))-Tables!$A$31:$A$37)*Tables!$C$31:$C$37)-O3</f>
        <v/>
      </c>
      <c r="AN3">
        <f>IF((L3+AM3)+0.5*H3&lt;=Tables!$B$24,0,IF((L3+AM3)+0.5*H3&lt;=Tables!$B$25,MIN(0.5*H3,0.5*((L3+AM3)+0.5*H3-Tables!$B$24)),MIN(0.85*H3,0.85*((L3+AM3)+0.5*H3-Tables!$B$25)+MIN(Tables!$B$26,0.5*H3))))</f>
        <v/>
      </c>
      <c r="AO3">
        <f>R3+SUMPRODUCT(((MAX(0,L3+AM3+AN3-(Tables!$B$22+IF(B3&gt;=Tables!$B$27,2*Tables!$B$23,0))))&gt;Tables!$A$31:$A$37)*((MAX(0,L3+AM3+AN3-(Tables!$B$22+IF(B3&gt;=Tables!$B$27,2*Tables!$B$23,0))))-Tables!$A$31:$A$37)*Tables!$C$31:$C$37)-O3</f>
        <v/>
      </c>
      <c r="AP3">
        <f>IF((L3+AO3)+0.5*H3&lt;=Tables!$B$24,0,IF((L3+AO3)+0.5*H3&lt;=Tables!$B$25,MIN(0.5*H3,0.5*((L3+AO3)+0.5*H3-Tables!$B$24)),MIN(0.85*H3,0.85*((L3+AO3)+0.5*H3-Tables!$B$25)+MIN(Tables!$B$26,0.5*H3))))</f>
        <v/>
      </c>
      <c r="AQ3">
        <f>R3+SUMPRODUCT(((MAX(0,L3+AO3+AP3-(Tables!$B$22+IF(B3&gt;=Tables!$B$27,2*Tables!$B$23,0))))&gt;Tables!$A$31:$A$37)*((MAX(0,L3+AO3+AP3-(Tables!$B$22+IF(B3&gt;=Tables!$B$27,2*Tables!$B$23,0))))-Tables!$A$31:$A$37)*Tables!$C$31:$C$37)-O3</f>
        <v/>
      </c>
      <c r="AR3">
        <f>IF((L3+AQ3)+0.5*H3&lt;=Tables!$B$24,0,IF((L3+AQ3)+0.5*H3&lt;=Tables!$B$25,MIN(0.5*H3,0.5*((L3+AQ3)+0.5*H3-Tables!$B$24)),MIN(0.85*H3,0.85*((L3+AQ3)+0.5*H3-Tables!$B$25)+MIN(Tables!$B$26,0.5*H3))))</f>
        <v/>
      </c>
      <c r="AS3">
        <f>R3+SUMPRODUCT(((MAX(0,L3+AQ3+AR3-(Tables!$B$22+IF(B3&gt;=Tables!$B$27,2*Tables!$B$23,0))))&gt;Tables!$A$31:$A$37)*((MAX(0,L3+AQ3+AR3-(Tables!$B$22+IF(B3&gt;=Tables!$B$27,2*Tables!$B$23,0))))-Tables!$A$31:$A$37)*Tables!$C$31:$C$37)-O3</f>
        <v/>
      </c>
      <c r="AT3">
        <f>IF((L3+AS3)+0.5*H3&lt;=Tables!$B$24,0,IF((L3+AS3)+0.5*H3&lt;=Tables!$B$25,MIN(0.5*H3,0.5*((L3+AS3)+0.5*H3-Tables!$B$24)),MIN(0.85*H3,0.85*((L3+AS3)+0.5*H3-Tables!$B$25)+MIN(Tables!$B$26,0.5*H3))))</f>
        <v/>
      </c>
      <c r="AU3">
        <f>R3+SUMPRODUCT(((MAX(0,L3+AS3+AT3-(Tables!$B$22+IF(B3&gt;=Tables!$B$27,2*Tables!$B$23,0))))&gt;Tables!$A$31:$A$37)*((MAX(0,L3+AS3+AT3-(Tables!$B$22+IF(B3&gt;=Tables!$B$27,2*Tables!$B$23,0))))-Tables!$A$31:$A$37)*Tables!$C$31:$C$37)-O3</f>
        <v/>
      </c>
      <c r="AV3">
        <f>IF((L3+AU3)+0.5*H3&lt;=Tables!$B$24,0,IF((L3+AU3)+0.5*H3&lt;=Tables!$B$25,MIN(0.5*H3,0.5*((L3+AU3)+0.5*H3-Tables!$B$24)),MIN(0.85*H3,0.85*((L3+AU3)+0.5*H3-Tables!$B$25)+MIN(Tables!$B$26,0.5*H3))))</f>
        <v/>
      </c>
      <c r="AW3">
        <f>R3+SUMPRODUCT(((MAX(0,L3+AU3+AV3-(Tables!$B$22+IF(B3&gt;=Tables!$B$27,2*Tables!$B$23,0))))&gt;Tables!$A$31:$A$37)*((MAX(0,L3+AU3+AV3-(Tables!$B$22+IF(B3&gt;=Tables!$B$27,2*Tables!$B$23,0))))-Tables!$A$31:$A$37)*Tables!$C$31:$C$37)-O3</f>
        <v/>
      </c>
      <c r="AX3">
        <f>IF((L3+AW3)+0.5*H3&lt;=Tables!$B$24,0,IF((L3+AW3)+0.5*H3&lt;=Tables!$B$25,MIN(0.5*H3,0.5*((L3+AW3)+0.5*H3-Tables!$B$24)),MIN(0.85*H3,0.85*((L3+AW3)+0.5*H3-Tables!$B$25)+MIN(Tables!$B$26,0.5*H3))))</f>
        <v/>
      </c>
      <c r="AY3">
        <f>R3+SUMPRODUCT(((MAX(0,L3+AW3+AX3-(Tables!$B$22+IF(B3&gt;=Tables!$B$27,2*Tables!$B$23,0))))&gt;Tables!$A$31:$A$37)*((MAX(0,L3+AW3+AX3-(Tables!$B$22+IF(B3&gt;=Tables!$B$27,2*Tables!$B$23,0))))-Tables!$A$31:$A$37)*Tables!$C$31:$C$37)-O3</f>
        <v/>
      </c>
      <c r="AZ3">
        <f>IF((L3+AY3)+0.5*H3&lt;=Tables!$B$24,0,IF((L3+AY3)+0.5*H3&lt;=Tables!$B$25,MIN(0.5*H3,0.5*((L3+AY3)+0.5*H3-Tables!$B$24)),MIN(0.85*H3,0.85*((L3+AY3)+0.5*H3-Tables!$B$25)+MIN(Tables!$B$26,0.5*H3))))</f>
        <v/>
      </c>
      <c r="BA3">
        <f>R3+SUMPRODUCT(((MAX(0,L3+AY3+AZ3-(Tables!$B$22+IF(B3&gt;=Tables!$B$27,2*Tables!$B$23,0))))&gt;Tables!$A$31:$A$37)*((MAX(0,L3+AY3+AZ3-(Tables!$B$22+IF(B3&gt;=Tables!$B$27,2*Tables!$B$23,0))))-Tables!$A$31:$A$37)*Tables!$C$31:$C$37)-O3</f>
        <v/>
      </c>
      <c r="BB3">
        <f>IF((L3+BA3)+0.5*H3&lt;=Tables!$B$24,0,IF((L3+BA3)+0.5*H3&lt;=Tables!$B$25,MIN(0.5*H3,0.5*((L3+BA3)+0.5*H3-Tables!$B$24)),MIN(0.85*H3,0.85*((L3+BA3)+0.5*H3-Tables!$B$25)+MIN(Tables!$B$26,0.5*H3))))</f>
        <v/>
      </c>
      <c r="BC3">
        <f>R3+SUMPRODUCT(((MAX(0,L3+BA3+BB3-(Tables!$B$22+IF(B3&gt;=Tables!$B$27,2*Tables!$B$23,0))))&gt;Tables!$A$31:$A$37)*((MAX(0,L3+BA3+BB3-(Tables!$B$22+IF(B3&gt;=Tables!$B$27,2*Tables!$B$23,0))))-Tables!$A$31:$A$37)*Tables!$C$31:$C$37)-O3</f>
        <v/>
      </c>
      <c r="BD3">
        <f>IF((L3+BC3)+0.5*H3&lt;=Tables!$B$24,0,IF((L3+BC3)+0.5*H3&lt;=Tables!$B$25,MIN(0.5*H3,0.5*((L3+BC3)+0.5*H3-Tables!$B$24)),MIN(0.85*H3,0.85*((L3+BC3)+0.5*H3-Tables!$B$25)+MIN(Tables!$B$26,0.5*H3))))</f>
        <v/>
      </c>
      <c r="BE3">
        <f>R3+SUMPRODUCT(((MAX(0,L3+BC3+BD3-(Tables!$B$22+IF(B3&gt;=Tables!$B$27,2*Tables!$B$23,0))))&gt;Tables!$A$31:$A$37)*((MAX(0,L3+BC3+BD3-(Tables!$B$22+IF(B3&gt;=Tables!$B$27,2*Tables!$B$23,0))))-Tables!$A$31:$A$37)*Tables!$C$31:$C$37)-O3</f>
        <v/>
      </c>
      <c r="BF3">
        <f>IF((L3+BE3)+0.5*H3&lt;=Tables!$B$24,0,IF((L3+BE3)+0.5*H3&lt;=Tables!$B$25,MIN(0.5*H3,0.5*((L3+BE3)+0.5*H3-Tables!$B$24)),MIN(0.85*H3,0.85*((L3+BE3)+0.5*H3-Tables!$B$25)+MIN(Tables!$B$26,0.5*H3))))</f>
        <v/>
      </c>
      <c r="BG3">
        <f>R3+SUMPRODUCT(((MAX(0,L3+BE3+BF3-(Tables!$B$22+IF(B3&gt;=Tables!$B$27,2*Tables!$B$23,0))))&gt;Tables!$A$31:$A$37)*((MAX(0,L3+BE3+BF3-(Tables!$B$22+IF(B3&gt;=Tables!$B$27,2*Tables!$B$23,0))))-Tables!$A$31:$A$37)*Tables!$C$31:$C$37)-O3</f>
        <v/>
      </c>
      <c r="BH3">
        <f>IF((L3+BG3)+0.5*H3&lt;=Tables!$B$24,0,IF((L3+BG3)+0.5*H3&lt;=Tables!$B$25,MIN(0.5*H3,0.5*((L3+BG3)+0.5*H3-Tables!$B$24)),MIN(0.85*H3,0.85*((L3+BG3)+0.5*H3-Tables!$B$25)+MIN(Tables!$B$26,0.5*H3))))</f>
        <v/>
      </c>
      <c r="BI3">
        <f>R3+SUMPRODUCT(((MAX(0,L3+BG3+BH3-(Tables!$B$22+IF(B3&gt;=Tables!$B$27,2*Tables!$B$23,0))))&gt;Tables!$A$31:$A$37)*((MAX(0,L3+BG3+BH3-(Tables!$B$22+IF(B3&gt;=Tables!$B$27,2*Tables!$B$23,0))))-Tables!$A$31:$A$37)*Tables!$C$31:$C$37)-O3</f>
        <v/>
      </c>
      <c r="BJ3">
        <f>IF((L3+BI3)+0.5*H3&lt;=Tables!$B$24,0,IF((L3+BI3)+0.5*H3&lt;=Tables!$B$25,MIN(0.5*H3,0.5*((L3+BI3)+0.5*H3-Tables!$B$24)),MIN(0.85*H3,0.85*((L3+BI3)+0.5*H3-Tables!$B$25)+MIN(Tables!$B$26,0.5*H3))))</f>
        <v/>
      </c>
      <c r="BK3">
        <f>R3+SUMPRODUCT(((MAX(0,L3+BI3+BJ3-(Tables!$B$22+IF(B3&gt;=Tables!$B$27,2*Tables!$B$23,0))))&gt;Tables!$A$31:$A$37)*((MAX(0,L3+BI3+BJ3-(Tables!$B$22+IF(B3&gt;=Tables!$B$27,2*Tables!$B$23,0))))-Tables!$A$31:$A$37)*Tables!$C$31:$C$37)-O3</f>
        <v/>
      </c>
      <c r="BL3">
        <f>IF((L3+BK3)+0.5*H3&lt;=Tables!$B$24,0,IF((L3+BK3)+0.5*H3&lt;=Tables!$B$25,MIN(0.5*H3,0.5*((L3+BK3)+0.5*H3-Tables!$B$24)),MIN(0.85*H3,0.85*((L3+BK3)+0.5*H3-Tables!$B$25)+MIN(Tables!$B$26,0.5*H3))))</f>
        <v/>
      </c>
      <c r="BM3">
        <f>R3+SUMPRODUCT(((MAX(0,L3+BK3+BL3-(Tables!$B$22+IF(B3&gt;=Tables!$B$27,2*Tables!$B$23,0))))&gt;Tables!$A$31:$A$37)*((MAX(0,L3+BK3+BL3-(Tables!$B$22+IF(B3&gt;=Tables!$B$27,2*Tables!$B$23,0))))-Tables!$A$31:$A$37)*Tables!$C$31:$C$37)-O3</f>
        <v/>
      </c>
      <c r="BN3">
        <f>IF((L3+BM3)+0.5*H3&lt;=Tables!$B$24,0,IF((L3+BM3)+0.5*H3&lt;=Tables!$B$25,MIN(0.5*H3,0.5*((L3+BM3)+0.5*H3-Tables!$B$24)),MIN(0.85*H3,0.85*((L3+BM3)+0.5*H3-Tables!$B$25)+MIN(Tables!$B$26,0.5*H3))))</f>
        <v/>
      </c>
      <c r="BO3">
        <f>R3+SUMPRODUCT(((MAX(0,L3+BM3+BN3-(Tables!$B$22+IF(B3&gt;=Tables!$B$27,2*Tables!$B$23,0))))&gt;Tables!$A$31:$A$37)*((MAX(0,L3+BM3+BN3-(Tables!$B$22+IF(B3&gt;=Tables!$B$27,2*Tables!$B$23,0))))-Tables!$A$31:$A$37)*Tables!$C$31:$C$37)-O3</f>
        <v/>
      </c>
      <c r="BP3">
        <f>MIN(BO3,S3)</f>
        <v/>
      </c>
      <c r="BQ3">
        <f>L3+BP3</f>
        <v/>
      </c>
      <c r="BR3">
        <f>IF(BQ3+0.5*H3&lt;=Tables!$B$24,0,IF(BQ3+0.5*H3&lt;=Tables!$B$25,MIN(0.5*H3,0.5*(BQ3+0.5*H3-Tables!$B$24)),MIN(0.85*H3,0.85*(BQ3+0.5*H3-Tables!$B$25)+MIN(Tables!$B$26,0.5*H3))))</f>
        <v/>
      </c>
      <c r="BS3">
        <f>MAX(0,BQ3+BR3-(Tables!$B$22+IF(B3&gt;=Tables!$B$27,2*Tables!$B$23,0)))</f>
        <v/>
      </c>
      <c r="BT3">
        <f>SUMPRODUCT(((BS3)&gt;Tables!$A$31:$A$37)*((BS3)-Tables!$A$31:$A$37)*Tables!$C$31:$C$37)</f>
        <v/>
      </c>
      <c r="BU3">
        <f>MAX(0,G3-(H3+BQ3+Q3-BT3))</f>
        <v/>
      </c>
      <c r="BV3">
        <f>MIN(J3,BU3)</f>
        <v/>
      </c>
      <c r="BW3">
        <f>H3+BQ3+Q3+BV3</f>
        <v/>
      </c>
      <c r="BX3">
        <f>MAX(0,BW3-G3-BT3)</f>
        <v/>
      </c>
      <c r="BY3">
        <f>MAX(0,G3+BT3-BW3)</f>
        <v/>
      </c>
      <c r="BZ3">
        <f>IF(C3=0,0,MAX(0,I3-BQ3)*(1+D3))</f>
        <v/>
      </c>
      <c r="CA3">
        <f>IF(C3=0,0,MAX(0,J3-BV3)*(1+D3))</f>
        <v/>
      </c>
      <c r="CB3">
        <f>IF(C3=0,0,MAX(0,K3-Q3+BX3)*(1+D3))</f>
        <v/>
      </c>
      <c r="CC3">
        <f>IF(C3=0,CC2,BZ3+CA3+CB3)</f>
        <v/>
      </c>
      <c r="CD3">
        <f>IF(C3=0,9999,IF(OR(BY3&gt;0.0001,CC3&lt;=0.0001),B3,9999))</f>
        <v/>
      </c>
    </row>
    <row r="4">
      <c r="A4" t="n">
        <v>2</v>
      </c>
      <c r="B4">
        <f>Tables!$B$13+A4</f>
        <v/>
      </c>
      <c r="C4">
        <f>IF(B4&lt;=Tables!$B$18,1,0)</f>
        <v/>
      </c>
      <c r="D4">
        <f>INDEX(Tables!$B$83:$B$123,A4+1)</f>
        <v/>
      </c>
      <c r="E4">
        <f>IF(A4=0,0,INDEX(Tables!$B$83:$B$123,A4))</f>
        <v/>
      </c>
      <c r="F4">
        <f>IF(AND(C4=1,Tables!$B$17="YES",A4&gt;0,E4&lt;Tables!$B$16),Tables!$B$15,0)</f>
        <v/>
      </c>
      <c r="G4">
        <f>IF(C4=0,0,Tables!$B$8-IF(B4&gt;=Tables!$B$7,Tables!$B$6,0)+IF(B4&lt;Tables!$B$27,Tables!$B$9,Tables!$B$10)-F4)</f>
        <v/>
      </c>
      <c r="H4">
        <f>IF(C4=0,0,IF(B4&gt;=Tables!$B$78,Tables!$D$78,0)+IF(B4&gt;=Tables!$C$78,Tables!$E$78,0))</f>
        <v/>
      </c>
      <c r="I4">
        <f>IF(C4=0,0,BZ3)</f>
        <v/>
      </c>
      <c r="J4">
        <f>IF(C4=0,0,CA3)</f>
        <v/>
      </c>
      <c r="K4">
        <f>IF(C4=0,0,CB3)</f>
        <v/>
      </c>
      <c r="L4">
        <f>IF(C4=0,0,IF(B4&gt;=Tables!$B$19,MIN(I4,I4/VLOOKUP(B4,Tables!$A$41:$B$61,2,FALSE)),0))</f>
        <v/>
      </c>
      <c r="M4">
        <f>IF(L4+0.5*H4&lt;=Tables!$B$24,0,IF(L4+0.5*H4&lt;=Tables!$B$25,MIN(0.5*H4,0.5*(L4+0.5*H4-Tables!$B$24)),MIN(0.85*H4,0.85*(L4+0.5*H4-Tables!$B$25)+MIN(Tables!$B$26,0.5*H4))))</f>
        <v/>
      </c>
      <c r="N4">
        <f>MAX(0,L4+M4-(Tables!$B$22+IF(B4&gt;=Tables!$B$27,2*Tables!$B$23,0)))</f>
        <v/>
      </c>
      <c r="O4">
        <f>SUMPRODUCT(((N4)&gt;Tables!$A$31:$A$37)*((N4)-Tables!$A$31:$A$37)*Tables!$C$31:$C$37)</f>
        <v/>
      </c>
      <c r="P4">
        <f>G4-(H4+L4-O4)</f>
        <v/>
      </c>
      <c r="Q4">
        <f>MIN(K4,MAX(0,P4))</f>
        <v/>
      </c>
      <c r="R4">
        <f>MAX(0,P4-Q4)</f>
        <v/>
      </c>
      <c r="S4">
        <f>MAX(0,I4-L4)</f>
        <v/>
      </c>
      <c r="T4">
        <f>IF((L4+R4)+0.5*H4&lt;=Tables!$B$24,0,IF((L4+R4)+0.5*H4&lt;=Tables!$B$25,MIN(0.5*H4,0.5*((L4+R4)+0.5*H4-Tables!$B$24)),MIN(0.85*H4,0.85*((L4+R4)+0.5*H4-Tables!$B$25)+MIN(Tables!$B$26,0.5*H4))))</f>
        <v/>
      </c>
      <c r="U4">
        <f>R4+SUMPRODUCT(((MAX(0,L4+R4+T4-(Tables!$B$22+IF(B4&gt;=Tables!$B$27,2*Tables!$B$23,0))))&gt;Tables!$A$31:$A$37)*((MAX(0,L4+R4+T4-(Tables!$B$22+IF(B4&gt;=Tables!$B$27,2*Tables!$B$23,0))))-Tables!$A$31:$A$37)*Tables!$C$31:$C$37)-O4</f>
        <v/>
      </c>
      <c r="V4">
        <f>IF((L4+U4)+0.5*H4&lt;=Tables!$B$24,0,IF((L4+U4)+0.5*H4&lt;=Tables!$B$25,MIN(0.5*H4,0.5*((L4+U4)+0.5*H4-Tables!$B$24)),MIN(0.85*H4,0.85*((L4+U4)+0.5*H4-Tables!$B$25)+MIN(Tables!$B$26,0.5*H4))))</f>
        <v/>
      </c>
      <c r="W4">
        <f>R4+SUMPRODUCT(((MAX(0,L4+U4+V4-(Tables!$B$22+IF(B4&gt;=Tables!$B$27,2*Tables!$B$23,0))))&gt;Tables!$A$31:$A$37)*((MAX(0,L4+U4+V4-(Tables!$B$22+IF(B4&gt;=Tables!$B$27,2*Tables!$B$23,0))))-Tables!$A$31:$A$37)*Tables!$C$31:$C$37)-O4</f>
        <v/>
      </c>
      <c r="X4">
        <f>IF((L4+W4)+0.5*H4&lt;=Tables!$B$24,0,IF((L4+W4)+0.5*H4&lt;=Tables!$B$25,MIN(0.5*H4,0.5*((L4+W4)+0.5*H4-Tables!$B$24)),MIN(0.85*H4,0.85*((L4+W4)+0.5*H4-Tables!$B$25)+MIN(Tables!$B$26,0.5*H4))))</f>
        <v/>
      </c>
      <c r="Y4">
        <f>R4+SUMPRODUCT(((MAX(0,L4+W4+X4-(Tables!$B$22+IF(B4&gt;=Tables!$B$27,2*Tables!$B$23,0))))&gt;Tables!$A$31:$A$37)*((MAX(0,L4+W4+X4-(Tables!$B$22+IF(B4&gt;=Tables!$B$27,2*Tables!$B$23,0))))-Tables!$A$31:$A$37)*Tables!$C$31:$C$37)-O4</f>
        <v/>
      </c>
      <c r="Z4">
        <f>IF((L4+Y4)+0.5*H4&lt;=Tables!$B$24,0,IF((L4+Y4)+0.5*H4&lt;=Tables!$B$25,MIN(0.5*H4,0.5*((L4+Y4)+0.5*H4-Tables!$B$24)),MIN(0.85*H4,0.85*((L4+Y4)+0.5*H4-Tables!$B$25)+MIN(Tables!$B$26,0.5*H4))))</f>
        <v/>
      </c>
      <c r="AA4">
        <f>R4+SUMPRODUCT(((MAX(0,L4+Y4+Z4-(Tables!$B$22+IF(B4&gt;=Tables!$B$27,2*Tables!$B$23,0))))&gt;Tables!$A$31:$A$37)*((MAX(0,L4+Y4+Z4-(Tables!$B$22+IF(B4&gt;=Tables!$B$27,2*Tables!$B$23,0))))-Tables!$A$31:$A$37)*Tables!$C$31:$C$37)-O4</f>
        <v/>
      </c>
      <c r="AB4">
        <f>IF((L4+AA4)+0.5*H4&lt;=Tables!$B$24,0,IF((L4+AA4)+0.5*H4&lt;=Tables!$B$25,MIN(0.5*H4,0.5*((L4+AA4)+0.5*H4-Tables!$B$24)),MIN(0.85*H4,0.85*((L4+AA4)+0.5*H4-Tables!$B$25)+MIN(Tables!$B$26,0.5*H4))))</f>
        <v/>
      </c>
      <c r="AC4">
        <f>R4+SUMPRODUCT(((MAX(0,L4+AA4+AB4-(Tables!$B$22+IF(B4&gt;=Tables!$B$27,2*Tables!$B$23,0))))&gt;Tables!$A$31:$A$37)*((MAX(0,L4+AA4+AB4-(Tables!$B$22+IF(B4&gt;=Tables!$B$27,2*Tables!$B$23,0))))-Tables!$A$31:$A$37)*Tables!$C$31:$C$37)-O4</f>
        <v/>
      </c>
      <c r="AD4">
        <f>IF((L4+AC4)+0.5*H4&lt;=Tables!$B$24,0,IF((L4+AC4)+0.5*H4&lt;=Tables!$B$25,MIN(0.5*H4,0.5*((L4+AC4)+0.5*H4-Tables!$B$24)),MIN(0.85*H4,0.85*((L4+AC4)+0.5*H4-Tables!$B$25)+MIN(Tables!$B$26,0.5*H4))))</f>
        <v/>
      </c>
      <c r="AE4">
        <f>R4+SUMPRODUCT(((MAX(0,L4+AC4+AD4-(Tables!$B$22+IF(B4&gt;=Tables!$B$27,2*Tables!$B$23,0))))&gt;Tables!$A$31:$A$37)*((MAX(0,L4+AC4+AD4-(Tables!$B$22+IF(B4&gt;=Tables!$B$27,2*Tables!$B$23,0))))-Tables!$A$31:$A$37)*Tables!$C$31:$C$37)-O4</f>
        <v/>
      </c>
      <c r="AF4">
        <f>IF((L4+AE4)+0.5*H4&lt;=Tables!$B$24,0,IF((L4+AE4)+0.5*H4&lt;=Tables!$B$25,MIN(0.5*H4,0.5*((L4+AE4)+0.5*H4-Tables!$B$24)),MIN(0.85*H4,0.85*((L4+AE4)+0.5*H4-Tables!$B$25)+MIN(Tables!$B$26,0.5*H4))))</f>
        <v/>
      </c>
      <c r="AG4">
        <f>R4+SUMPRODUCT(((MAX(0,L4+AE4+AF4-(Tables!$B$22+IF(B4&gt;=Tables!$B$27,2*Tables!$B$23,0))))&gt;Tables!$A$31:$A$37)*((MAX(0,L4+AE4+AF4-(Tables!$B$22+IF(B4&gt;=Tables!$B$27,2*Tables!$B$23,0))))-Tables!$A$31:$A$37)*Tables!$C$31:$C$37)-O4</f>
        <v/>
      </c>
      <c r="AH4">
        <f>IF((L4+AG4)+0.5*H4&lt;=Tables!$B$24,0,IF((L4+AG4)+0.5*H4&lt;=Tables!$B$25,MIN(0.5*H4,0.5*((L4+AG4)+0.5*H4-Tables!$B$24)),MIN(0.85*H4,0.85*((L4+AG4)+0.5*H4-Tables!$B$25)+MIN(Tables!$B$26,0.5*H4))))</f>
        <v/>
      </c>
      <c r="AI4">
        <f>R4+SUMPRODUCT(((MAX(0,L4+AG4+AH4-(Tables!$B$22+IF(B4&gt;=Tables!$B$27,2*Tables!$B$23,0))))&gt;Tables!$A$31:$A$37)*((MAX(0,L4+AG4+AH4-(Tables!$B$22+IF(B4&gt;=Tables!$B$27,2*Tables!$B$23,0))))-Tables!$A$31:$A$37)*Tables!$C$31:$C$37)-O4</f>
        <v/>
      </c>
      <c r="AJ4">
        <f>IF((L4+AI4)+0.5*H4&lt;=Tables!$B$24,0,IF((L4+AI4)+0.5*H4&lt;=Tables!$B$25,MIN(0.5*H4,0.5*((L4+AI4)+0.5*H4-Tables!$B$24)),MIN(0.85*H4,0.85*((L4+AI4)+0.5*H4-Tables!$B$25)+MIN(Tables!$B$26,0.5*H4))))</f>
        <v/>
      </c>
      <c r="AK4">
        <f>R4+SUMPRODUCT(((MAX(0,L4+AI4+AJ4-(Tables!$B$22+IF(B4&gt;=Tables!$B$27,2*Tables!$B$23,0))))&gt;Tables!$A$31:$A$37)*((MAX(0,L4+AI4+AJ4-(Tables!$B$22+IF(B4&gt;=Tables!$B$27,2*Tables!$B$23,0))))-Tables!$A$31:$A$37)*Tables!$C$31:$C$37)-O4</f>
        <v/>
      </c>
      <c r="AL4">
        <f>IF((L4+AK4)+0.5*H4&lt;=Tables!$B$24,0,IF((L4+AK4)+0.5*H4&lt;=Tables!$B$25,MIN(0.5*H4,0.5*((L4+AK4)+0.5*H4-Tables!$B$24)),MIN(0.85*H4,0.85*((L4+AK4)+0.5*H4-Tables!$B$25)+MIN(Tables!$B$26,0.5*H4))))</f>
        <v/>
      </c>
      <c r="AM4">
        <f>R4+SUMPRODUCT(((MAX(0,L4+AK4+AL4-(Tables!$B$22+IF(B4&gt;=Tables!$B$27,2*Tables!$B$23,0))))&gt;Tables!$A$31:$A$37)*((MAX(0,L4+AK4+AL4-(Tables!$B$22+IF(B4&gt;=Tables!$B$27,2*Tables!$B$23,0))))-Tables!$A$31:$A$37)*Tables!$C$31:$C$37)-O4</f>
        <v/>
      </c>
      <c r="AN4">
        <f>IF((L4+AM4)+0.5*H4&lt;=Tables!$B$24,0,IF((L4+AM4)+0.5*H4&lt;=Tables!$B$25,MIN(0.5*H4,0.5*((L4+AM4)+0.5*H4-Tables!$B$24)),MIN(0.85*H4,0.85*((L4+AM4)+0.5*H4-Tables!$B$25)+MIN(Tables!$B$26,0.5*H4))))</f>
        <v/>
      </c>
      <c r="AO4">
        <f>R4+SUMPRODUCT(((MAX(0,L4+AM4+AN4-(Tables!$B$22+IF(B4&gt;=Tables!$B$27,2*Tables!$B$23,0))))&gt;Tables!$A$31:$A$37)*((MAX(0,L4+AM4+AN4-(Tables!$B$22+IF(B4&gt;=Tables!$B$27,2*Tables!$B$23,0))))-Tables!$A$31:$A$37)*Tables!$C$31:$C$37)-O4</f>
        <v/>
      </c>
      <c r="AP4">
        <f>IF((L4+AO4)+0.5*H4&lt;=Tables!$B$24,0,IF((L4+AO4)+0.5*H4&lt;=Tables!$B$25,MIN(0.5*H4,0.5*((L4+AO4)+0.5*H4-Tables!$B$24)),MIN(0.85*H4,0.85*((L4+AO4)+0.5*H4-Tables!$B$25)+MIN(Tables!$B$26,0.5*H4))))</f>
        <v/>
      </c>
      <c r="AQ4">
        <f>R4+SUMPRODUCT(((MAX(0,L4+AO4+AP4-(Tables!$B$22+IF(B4&gt;=Tables!$B$27,2*Tables!$B$23,0))))&gt;Tables!$A$31:$A$37)*((MAX(0,L4+AO4+AP4-(Tables!$B$22+IF(B4&gt;=Tables!$B$27,2*Tables!$B$23,0))))-Tables!$A$31:$A$37)*Tables!$C$31:$C$37)-O4</f>
        <v/>
      </c>
      <c r="AR4">
        <f>IF((L4+AQ4)+0.5*H4&lt;=Tables!$B$24,0,IF((L4+AQ4)+0.5*H4&lt;=Tables!$B$25,MIN(0.5*H4,0.5*((L4+AQ4)+0.5*H4-Tables!$B$24)),MIN(0.85*H4,0.85*((L4+AQ4)+0.5*H4-Tables!$B$25)+MIN(Tables!$B$26,0.5*H4))))</f>
        <v/>
      </c>
      <c r="AS4">
        <f>R4+SUMPRODUCT(((MAX(0,L4+AQ4+AR4-(Tables!$B$22+IF(B4&gt;=Tables!$B$27,2*Tables!$B$23,0))))&gt;Tables!$A$31:$A$37)*((MAX(0,L4+AQ4+AR4-(Tables!$B$22+IF(B4&gt;=Tables!$B$27,2*Tables!$B$23,0))))-Tables!$A$31:$A$37)*Tables!$C$31:$C$37)-O4</f>
        <v/>
      </c>
      <c r="AT4">
        <f>IF((L4+AS4)+0.5*H4&lt;=Tables!$B$24,0,IF((L4+AS4)+0.5*H4&lt;=Tables!$B$25,MIN(0.5*H4,0.5*((L4+AS4)+0.5*H4-Tables!$B$24)),MIN(0.85*H4,0.85*((L4+AS4)+0.5*H4-Tables!$B$25)+MIN(Tables!$B$26,0.5*H4))))</f>
        <v/>
      </c>
      <c r="AU4">
        <f>R4+SUMPRODUCT(((MAX(0,L4+AS4+AT4-(Tables!$B$22+IF(B4&gt;=Tables!$B$27,2*Tables!$B$23,0))))&gt;Tables!$A$31:$A$37)*((MAX(0,L4+AS4+AT4-(Tables!$B$22+IF(B4&gt;=Tables!$B$27,2*Tables!$B$23,0))))-Tables!$A$31:$A$37)*Tables!$C$31:$C$37)-O4</f>
        <v/>
      </c>
      <c r="AV4">
        <f>IF((L4+AU4)+0.5*H4&lt;=Tables!$B$24,0,IF((L4+AU4)+0.5*H4&lt;=Tables!$B$25,MIN(0.5*H4,0.5*((L4+AU4)+0.5*H4-Tables!$B$24)),MIN(0.85*H4,0.85*((L4+AU4)+0.5*H4-Tables!$B$25)+MIN(Tables!$B$26,0.5*H4))))</f>
        <v/>
      </c>
      <c r="AW4">
        <f>R4+SUMPRODUCT(((MAX(0,L4+AU4+AV4-(Tables!$B$22+IF(B4&gt;=Tables!$B$27,2*Tables!$B$23,0))))&gt;Tables!$A$31:$A$37)*((MAX(0,L4+AU4+AV4-(Tables!$B$22+IF(B4&gt;=Tables!$B$27,2*Tables!$B$23,0))))-Tables!$A$31:$A$37)*Tables!$C$31:$C$37)-O4</f>
        <v/>
      </c>
      <c r="AX4">
        <f>IF((L4+AW4)+0.5*H4&lt;=Tables!$B$24,0,IF((L4+AW4)+0.5*H4&lt;=Tables!$B$25,MIN(0.5*H4,0.5*((L4+AW4)+0.5*H4-Tables!$B$24)),MIN(0.85*H4,0.85*((L4+AW4)+0.5*H4-Tables!$B$25)+MIN(Tables!$B$26,0.5*H4))))</f>
        <v/>
      </c>
      <c r="AY4">
        <f>R4+SUMPRODUCT(((MAX(0,L4+AW4+AX4-(Tables!$B$22+IF(B4&gt;=Tables!$B$27,2*Tables!$B$23,0))))&gt;Tables!$A$31:$A$37)*((MAX(0,L4+AW4+AX4-(Tables!$B$22+IF(B4&gt;=Tables!$B$27,2*Tables!$B$23,0))))-Tables!$A$31:$A$37)*Tables!$C$31:$C$37)-O4</f>
        <v/>
      </c>
      <c r="AZ4">
        <f>IF((L4+AY4)+0.5*H4&lt;=Tables!$B$24,0,IF((L4+AY4)+0.5*H4&lt;=Tables!$B$25,MIN(0.5*H4,0.5*((L4+AY4)+0.5*H4-Tables!$B$24)),MIN(0.85*H4,0.85*((L4+AY4)+0.5*H4-Tables!$B$25)+MIN(Tables!$B$26,0.5*H4))))</f>
        <v/>
      </c>
      <c r="BA4">
        <f>R4+SUMPRODUCT(((MAX(0,L4+AY4+AZ4-(Tables!$B$22+IF(B4&gt;=Tables!$B$27,2*Tables!$B$23,0))))&gt;Tables!$A$31:$A$37)*((MAX(0,L4+AY4+AZ4-(Tables!$B$22+IF(B4&gt;=Tables!$B$27,2*Tables!$B$23,0))))-Tables!$A$31:$A$37)*Tables!$C$31:$C$37)-O4</f>
        <v/>
      </c>
      <c r="BB4">
        <f>IF((L4+BA4)+0.5*H4&lt;=Tables!$B$24,0,IF((L4+BA4)+0.5*H4&lt;=Tables!$B$25,MIN(0.5*H4,0.5*((L4+BA4)+0.5*H4-Tables!$B$24)),MIN(0.85*H4,0.85*((L4+BA4)+0.5*H4-Tables!$B$25)+MIN(Tables!$B$26,0.5*H4))))</f>
        <v/>
      </c>
      <c r="BC4">
        <f>R4+SUMPRODUCT(((MAX(0,L4+BA4+BB4-(Tables!$B$22+IF(B4&gt;=Tables!$B$27,2*Tables!$B$23,0))))&gt;Tables!$A$31:$A$37)*((MAX(0,L4+BA4+BB4-(Tables!$B$22+IF(B4&gt;=Tables!$B$27,2*Tables!$B$23,0))))-Tables!$A$31:$A$37)*Tables!$C$31:$C$37)-O4</f>
        <v/>
      </c>
      <c r="BD4">
        <f>IF((L4+BC4)+0.5*H4&lt;=Tables!$B$24,0,IF((L4+BC4)+0.5*H4&lt;=Tables!$B$25,MIN(0.5*H4,0.5*((L4+BC4)+0.5*H4-Tables!$B$24)),MIN(0.85*H4,0.85*((L4+BC4)+0.5*H4-Tables!$B$25)+MIN(Tables!$B$26,0.5*H4))))</f>
        <v/>
      </c>
      <c r="BE4">
        <f>R4+SUMPRODUCT(((MAX(0,L4+BC4+BD4-(Tables!$B$22+IF(B4&gt;=Tables!$B$27,2*Tables!$B$23,0))))&gt;Tables!$A$31:$A$37)*((MAX(0,L4+BC4+BD4-(Tables!$B$22+IF(B4&gt;=Tables!$B$27,2*Tables!$B$23,0))))-Tables!$A$31:$A$37)*Tables!$C$31:$C$37)-O4</f>
        <v/>
      </c>
      <c r="BF4">
        <f>IF((L4+BE4)+0.5*H4&lt;=Tables!$B$24,0,IF((L4+BE4)+0.5*H4&lt;=Tables!$B$25,MIN(0.5*H4,0.5*((L4+BE4)+0.5*H4-Tables!$B$24)),MIN(0.85*H4,0.85*((L4+BE4)+0.5*H4-Tables!$B$25)+MIN(Tables!$B$26,0.5*H4))))</f>
        <v/>
      </c>
      <c r="BG4">
        <f>R4+SUMPRODUCT(((MAX(0,L4+BE4+BF4-(Tables!$B$22+IF(B4&gt;=Tables!$B$27,2*Tables!$B$23,0))))&gt;Tables!$A$31:$A$37)*((MAX(0,L4+BE4+BF4-(Tables!$B$22+IF(B4&gt;=Tables!$B$27,2*Tables!$B$23,0))))-Tables!$A$31:$A$37)*Tables!$C$31:$C$37)-O4</f>
        <v/>
      </c>
      <c r="BH4">
        <f>IF((L4+BG4)+0.5*H4&lt;=Tables!$B$24,0,IF((L4+BG4)+0.5*H4&lt;=Tables!$B$25,MIN(0.5*H4,0.5*((L4+BG4)+0.5*H4-Tables!$B$24)),MIN(0.85*H4,0.85*((L4+BG4)+0.5*H4-Tables!$B$25)+MIN(Tables!$B$26,0.5*H4))))</f>
        <v/>
      </c>
      <c r="BI4">
        <f>R4+SUMPRODUCT(((MAX(0,L4+BG4+BH4-(Tables!$B$22+IF(B4&gt;=Tables!$B$27,2*Tables!$B$23,0))))&gt;Tables!$A$31:$A$37)*((MAX(0,L4+BG4+BH4-(Tables!$B$22+IF(B4&gt;=Tables!$B$27,2*Tables!$B$23,0))))-Tables!$A$31:$A$37)*Tables!$C$31:$C$37)-O4</f>
        <v/>
      </c>
      <c r="BJ4">
        <f>IF((L4+BI4)+0.5*H4&lt;=Tables!$B$24,0,IF((L4+BI4)+0.5*H4&lt;=Tables!$B$25,MIN(0.5*H4,0.5*((L4+BI4)+0.5*H4-Tables!$B$24)),MIN(0.85*H4,0.85*((L4+BI4)+0.5*H4-Tables!$B$25)+MIN(Tables!$B$26,0.5*H4))))</f>
        <v/>
      </c>
      <c r="BK4">
        <f>R4+SUMPRODUCT(((MAX(0,L4+BI4+BJ4-(Tables!$B$22+IF(B4&gt;=Tables!$B$27,2*Tables!$B$23,0))))&gt;Tables!$A$31:$A$37)*((MAX(0,L4+BI4+BJ4-(Tables!$B$22+IF(B4&gt;=Tables!$B$27,2*Tables!$B$23,0))))-Tables!$A$31:$A$37)*Tables!$C$31:$C$37)-O4</f>
        <v/>
      </c>
      <c r="BL4">
        <f>IF((L4+BK4)+0.5*H4&lt;=Tables!$B$24,0,IF((L4+BK4)+0.5*H4&lt;=Tables!$B$25,MIN(0.5*H4,0.5*((L4+BK4)+0.5*H4-Tables!$B$24)),MIN(0.85*H4,0.85*((L4+BK4)+0.5*H4-Tables!$B$25)+MIN(Tables!$B$26,0.5*H4))))</f>
        <v/>
      </c>
      <c r="BM4">
        <f>R4+SUMPRODUCT(((MAX(0,L4+BK4+BL4-(Tables!$B$22+IF(B4&gt;=Tables!$B$27,2*Tables!$B$23,0))))&gt;Tables!$A$31:$A$37)*((MAX(0,L4+BK4+BL4-(Tables!$B$22+IF(B4&gt;=Tables!$B$27,2*Tables!$B$23,0))))-Tables!$A$31:$A$37)*Tables!$C$31:$C$37)-O4</f>
        <v/>
      </c>
      <c r="BN4">
        <f>IF((L4+BM4)+0.5*H4&lt;=Tables!$B$24,0,IF((L4+BM4)+0.5*H4&lt;=Tables!$B$25,MIN(0.5*H4,0.5*((L4+BM4)+0.5*H4-Tables!$B$24)),MIN(0.85*H4,0.85*((L4+BM4)+0.5*H4-Tables!$B$25)+MIN(Tables!$B$26,0.5*H4))))</f>
        <v/>
      </c>
      <c r="BO4">
        <f>R4+SUMPRODUCT(((MAX(0,L4+BM4+BN4-(Tables!$B$22+IF(B4&gt;=Tables!$B$27,2*Tables!$B$23,0))))&gt;Tables!$A$31:$A$37)*((MAX(0,L4+BM4+BN4-(Tables!$B$22+IF(B4&gt;=Tables!$B$27,2*Tables!$B$23,0))))-Tables!$A$31:$A$37)*Tables!$C$31:$C$37)-O4</f>
        <v/>
      </c>
      <c r="BP4">
        <f>MIN(BO4,S4)</f>
        <v/>
      </c>
      <c r="BQ4">
        <f>L4+BP4</f>
        <v/>
      </c>
      <c r="BR4">
        <f>IF(BQ4+0.5*H4&lt;=Tables!$B$24,0,IF(BQ4+0.5*H4&lt;=Tables!$B$25,MIN(0.5*H4,0.5*(BQ4+0.5*H4-Tables!$B$24)),MIN(0.85*H4,0.85*(BQ4+0.5*H4-Tables!$B$25)+MIN(Tables!$B$26,0.5*H4))))</f>
        <v/>
      </c>
      <c r="BS4">
        <f>MAX(0,BQ4+BR4-(Tables!$B$22+IF(B4&gt;=Tables!$B$27,2*Tables!$B$23,0)))</f>
        <v/>
      </c>
      <c r="BT4">
        <f>SUMPRODUCT(((BS4)&gt;Tables!$A$31:$A$37)*((BS4)-Tables!$A$31:$A$37)*Tables!$C$31:$C$37)</f>
        <v/>
      </c>
      <c r="BU4">
        <f>MAX(0,G4-(H4+BQ4+Q4-BT4))</f>
        <v/>
      </c>
      <c r="BV4">
        <f>MIN(J4,BU4)</f>
        <v/>
      </c>
      <c r="BW4">
        <f>H4+BQ4+Q4+BV4</f>
        <v/>
      </c>
      <c r="BX4">
        <f>MAX(0,BW4-G4-BT4)</f>
        <v/>
      </c>
      <c r="BY4">
        <f>MAX(0,G4+BT4-BW4)</f>
        <v/>
      </c>
      <c r="BZ4">
        <f>IF(C4=0,0,MAX(0,I4-BQ4)*(1+D4))</f>
        <v/>
      </c>
      <c r="CA4">
        <f>IF(C4=0,0,MAX(0,J4-BV4)*(1+D4))</f>
        <v/>
      </c>
      <c r="CB4">
        <f>IF(C4=0,0,MAX(0,K4-Q4+BX4)*(1+D4))</f>
        <v/>
      </c>
      <c r="CC4">
        <f>IF(C4=0,CC3,BZ4+CA4+CB4)</f>
        <v/>
      </c>
      <c r="CD4">
        <f>IF(C4=0,9999,IF(OR(BY4&gt;0.0001,CC4&lt;=0.0001),B4,9999))</f>
        <v/>
      </c>
    </row>
    <row r="5">
      <c r="A5" t="n">
        <v>3</v>
      </c>
      <c r="B5">
        <f>Tables!$B$13+A5</f>
        <v/>
      </c>
      <c r="C5">
        <f>IF(B5&lt;=Tables!$B$18,1,0)</f>
        <v/>
      </c>
      <c r="D5">
        <f>INDEX(Tables!$B$83:$B$123,A5+1)</f>
        <v/>
      </c>
      <c r="E5">
        <f>IF(A5=0,0,INDEX(Tables!$B$83:$B$123,A5))</f>
        <v/>
      </c>
      <c r="F5">
        <f>IF(AND(C5=1,Tables!$B$17="YES",A5&gt;0,E5&lt;Tables!$B$16),Tables!$B$15,0)</f>
        <v/>
      </c>
      <c r="G5">
        <f>IF(C5=0,0,Tables!$B$8-IF(B5&gt;=Tables!$B$7,Tables!$B$6,0)+IF(B5&lt;Tables!$B$27,Tables!$B$9,Tables!$B$10)-F5)</f>
        <v/>
      </c>
      <c r="H5">
        <f>IF(C5=0,0,IF(B5&gt;=Tables!$B$78,Tables!$D$78,0)+IF(B5&gt;=Tables!$C$78,Tables!$E$78,0))</f>
        <v/>
      </c>
      <c r="I5">
        <f>IF(C5=0,0,BZ4)</f>
        <v/>
      </c>
      <c r="J5">
        <f>IF(C5=0,0,CA4)</f>
        <v/>
      </c>
      <c r="K5">
        <f>IF(C5=0,0,CB4)</f>
        <v/>
      </c>
      <c r="L5">
        <f>IF(C5=0,0,IF(B5&gt;=Tables!$B$19,MIN(I5,I5/VLOOKUP(B5,Tables!$A$41:$B$61,2,FALSE)),0))</f>
        <v/>
      </c>
      <c r="M5">
        <f>IF(L5+0.5*H5&lt;=Tables!$B$24,0,IF(L5+0.5*H5&lt;=Tables!$B$25,MIN(0.5*H5,0.5*(L5+0.5*H5-Tables!$B$24)),MIN(0.85*H5,0.85*(L5+0.5*H5-Tables!$B$25)+MIN(Tables!$B$26,0.5*H5))))</f>
        <v/>
      </c>
      <c r="N5">
        <f>MAX(0,L5+M5-(Tables!$B$22+IF(B5&gt;=Tables!$B$27,2*Tables!$B$23,0)))</f>
        <v/>
      </c>
      <c r="O5">
        <f>SUMPRODUCT(((N5)&gt;Tables!$A$31:$A$37)*((N5)-Tables!$A$31:$A$37)*Tables!$C$31:$C$37)</f>
        <v/>
      </c>
      <c r="P5">
        <f>G5-(H5+L5-O5)</f>
        <v/>
      </c>
      <c r="Q5">
        <f>MIN(K5,MAX(0,P5))</f>
        <v/>
      </c>
      <c r="R5">
        <f>MAX(0,P5-Q5)</f>
        <v/>
      </c>
      <c r="S5">
        <f>MAX(0,I5-L5)</f>
        <v/>
      </c>
      <c r="T5">
        <f>IF((L5+R5)+0.5*H5&lt;=Tables!$B$24,0,IF((L5+R5)+0.5*H5&lt;=Tables!$B$25,MIN(0.5*H5,0.5*((L5+R5)+0.5*H5-Tables!$B$24)),MIN(0.85*H5,0.85*((L5+R5)+0.5*H5-Tables!$B$25)+MIN(Tables!$B$26,0.5*H5))))</f>
        <v/>
      </c>
      <c r="U5">
        <f>R5+SUMPRODUCT(((MAX(0,L5+R5+T5-(Tables!$B$22+IF(B5&gt;=Tables!$B$27,2*Tables!$B$23,0))))&gt;Tables!$A$31:$A$37)*((MAX(0,L5+R5+T5-(Tables!$B$22+IF(B5&gt;=Tables!$B$27,2*Tables!$B$23,0))))-Tables!$A$31:$A$37)*Tables!$C$31:$C$37)-O5</f>
        <v/>
      </c>
      <c r="V5">
        <f>IF((L5+U5)+0.5*H5&lt;=Tables!$B$24,0,IF((L5+U5)+0.5*H5&lt;=Tables!$B$25,MIN(0.5*H5,0.5*((L5+U5)+0.5*H5-Tables!$B$24)),MIN(0.85*H5,0.85*((L5+U5)+0.5*H5-Tables!$B$25)+MIN(Tables!$B$26,0.5*H5))))</f>
        <v/>
      </c>
      <c r="W5">
        <f>R5+SUMPRODUCT(((MAX(0,L5+U5+V5-(Tables!$B$22+IF(B5&gt;=Tables!$B$27,2*Tables!$B$23,0))))&gt;Tables!$A$31:$A$37)*((MAX(0,L5+U5+V5-(Tables!$B$22+IF(B5&gt;=Tables!$B$27,2*Tables!$B$23,0))))-Tables!$A$31:$A$37)*Tables!$C$31:$C$37)-O5</f>
        <v/>
      </c>
      <c r="X5">
        <f>IF((L5+W5)+0.5*H5&lt;=Tables!$B$24,0,IF((L5+W5)+0.5*H5&lt;=Tables!$B$25,MIN(0.5*H5,0.5*((L5+W5)+0.5*H5-Tables!$B$24)),MIN(0.85*H5,0.85*((L5+W5)+0.5*H5-Tables!$B$25)+MIN(Tables!$B$26,0.5*H5))))</f>
        <v/>
      </c>
      <c r="Y5">
        <f>R5+SUMPRODUCT(((MAX(0,L5+W5+X5-(Tables!$B$22+IF(B5&gt;=Tables!$B$27,2*Tables!$B$23,0))))&gt;Tables!$A$31:$A$37)*((MAX(0,L5+W5+X5-(Tables!$B$22+IF(B5&gt;=Tables!$B$27,2*Tables!$B$23,0))))-Tables!$A$31:$A$37)*Tables!$C$31:$C$37)-O5</f>
        <v/>
      </c>
      <c r="Z5">
        <f>IF((L5+Y5)+0.5*H5&lt;=Tables!$B$24,0,IF((L5+Y5)+0.5*H5&lt;=Tables!$B$25,MIN(0.5*H5,0.5*((L5+Y5)+0.5*H5-Tables!$B$24)),MIN(0.85*H5,0.85*((L5+Y5)+0.5*H5-Tables!$B$25)+MIN(Tables!$B$26,0.5*H5))))</f>
        <v/>
      </c>
      <c r="AA5">
        <f>R5+SUMPRODUCT(((MAX(0,L5+Y5+Z5-(Tables!$B$22+IF(B5&gt;=Tables!$B$27,2*Tables!$B$23,0))))&gt;Tables!$A$31:$A$37)*((MAX(0,L5+Y5+Z5-(Tables!$B$22+IF(B5&gt;=Tables!$B$27,2*Tables!$B$23,0))))-Tables!$A$31:$A$37)*Tables!$C$31:$C$37)-O5</f>
        <v/>
      </c>
      <c r="AB5">
        <f>IF((L5+AA5)+0.5*H5&lt;=Tables!$B$24,0,IF((L5+AA5)+0.5*H5&lt;=Tables!$B$25,MIN(0.5*H5,0.5*((L5+AA5)+0.5*H5-Tables!$B$24)),MIN(0.85*H5,0.85*((L5+AA5)+0.5*H5-Tables!$B$25)+MIN(Tables!$B$26,0.5*H5))))</f>
        <v/>
      </c>
      <c r="AC5">
        <f>R5+SUMPRODUCT(((MAX(0,L5+AA5+AB5-(Tables!$B$22+IF(B5&gt;=Tables!$B$27,2*Tables!$B$23,0))))&gt;Tables!$A$31:$A$37)*((MAX(0,L5+AA5+AB5-(Tables!$B$22+IF(B5&gt;=Tables!$B$27,2*Tables!$B$23,0))))-Tables!$A$31:$A$37)*Tables!$C$31:$C$37)-O5</f>
        <v/>
      </c>
      <c r="AD5">
        <f>IF((L5+AC5)+0.5*H5&lt;=Tables!$B$24,0,IF((L5+AC5)+0.5*H5&lt;=Tables!$B$25,MIN(0.5*H5,0.5*((L5+AC5)+0.5*H5-Tables!$B$24)),MIN(0.85*H5,0.85*((L5+AC5)+0.5*H5-Tables!$B$25)+MIN(Tables!$B$26,0.5*H5))))</f>
        <v/>
      </c>
      <c r="AE5">
        <f>R5+SUMPRODUCT(((MAX(0,L5+AC5+AD5-(Tables!$B$22+IF(B5&gt;=Tables!$B$27,2*Tables!$B$23,0))))&gt;Tables!$A$31:$A$37)*((MAX(0,L5+AC5+AD5-(Tables!$B$22+IF(B5&gt;=Tables!$B$27,2*Tables!$B$23,0))))-Tables!$A$31:$A$37)*Tables!$C$31:$C$37)-O5</f>
        <v/>
      </c>
      <c r="AF5">
        <f>IF((L5+AE5)+0.5*H5&lt;=Tables!$B$24,0,IF((L5+AE5)+0.5*H5&lt;=Tables!$B$25,MIN(0.5*H5,0.5*((L5+AE5)+0.5*H5-Tables!$B$24)),MIN(0.85*H5,0.85*((L5+AE5)+0.5*H5-Tables!$B$25)+MIN(Tables!$B$26,0.5*H5))))</f>
        <v/>
      </c>
      <c r="AG5">
        <f>R5+SUMPRODUCT(((MAX(0,L5+AE5+AF5-(Tables!$B$22+IF(B5&gt;=Tables!$B$27,2*Tables!$B$23,0))))&gt;Tables!$A$31:$A$37)*((MAX(0,L5+AE5+AF5-(Tables!$B$22+IF(B5&gt;=Tables!$B$27,2*Tables!$B$23,0))))-Tables!$A$31:$A$37)*Tables!$C$31:$C$37)-O5</f>
        <v/>
      </c>
      <c r="AH5">
        <f>IF((L5+AG5)+0.5*H5&lt;=Tables!$B$24,0,IF((L5+AG5)+0.5*H5&lt;=Tables!$B$25,MIN(0.5*H5,0.5*((L5+AG5)+0.5*H5-Tables!$B$24)),MIN(0.85*H5,0.85*((L5+AG5)+0.5*H5-Tables!$B$25)+MIN(Tables!$B$26,0.5*H5))))</f>
        <v/>
      </c>
      <c r="AI5">
        <f>R5+SUMPRODUCT(((MAX(0,L5+AG5+AH5-(Tables!$B$22+IF(B5&gt;=Tables!$B$27,2*Tables!$B$23,0))))&gt;Tables!$A$31:$A$37)*((MAX(0,L5+AG5+AH5-(Tables!$B$22+IF(B5&gt;=Tables!$B$27,2*Tables!$B$23,0))))-Tables!$A$31:$A$37)*Tables!$C$31:$C$37)-O5</f>
        <v/>
      </c>
      <c r="AJ5">
        <f>IF((L5+AI5)+0.5*H5&lt;=Tables!$B$24,0,IF((L5+AI5)+0.5*H5&lt;=Tables!$B$25,MIN(0.5*H5,0.5*((L5+AI5)+0.5*H5-Tables!$B$24)),MIN(0.85*H5,0.85*((L5+AI5)+0.5*H5-Tables!$B$25)+MIN(Tables!$B$26,0.5*H5))))</f>
        <v/>
      </c>
      <c r="AK5">
        <f>R5+SUMPRODUCT(((MAX(0,L5+AI5+AJ5-(Tables!$B$22+IF(B5&gt;=Tables!$B$27,2*Tables!$B$23,0))))&gt;Tables!$A$31:$A$37)*((MAX(0,L5+AI5+AJ5-(Tables!$B$22+IF(B5&gt;=Tables!$B$27,2*Tables!$B$23,0))))-Tables!$A$31:$A$37)*Tables!$C$31:$C$37)-O5</f>
        <v/>
      </c>
      <c r="AL5">
        <f>IF((L5+AK5)+0.5*H5&lt;=Tables!$B$24,0,IF((L5+AK5)+0.5*H5&lt;=Tables!$B$25,MIN(0.5*H5,0.5*((L5+AK5)+0.5*H5-Tables!$B$24)),MIN(0.85*H5,0.85*((L5+AK5)+0.5*H5-Tables!$B$25)+MIN(Tables!$B$26,0.5*H5))))</f>
        <v/>
      </c>
      <c r="AM5">
        <f>R5+SUMPRODUCT(((MAX(0,L5+AK5+AL5-(Tables!$B$22+IF(B5&gt;=Tables!$B$27,2*Tables!$B$23,0))))&gt;Tables!$A$31:$A$37)*((MAX(0,L5+AK5+AL5-(Tables!$B$22+IF(B5&gt;=Tables!$B$27,2*Tables!$B$23,0))))-Tables!$A$31:$A$37)*Tables!$C$31:$C$37)-O5</f>
        <v/>
      </c>
      <c r="AN5">
        <f>IF((L5+AM5)+0.5*H5&lt;=Tables!$B$24,0,IF((L5+AM5)+0.5*H5&lt;=Tables!$B$25,MIN(0.5*H5,0.5*((L5+AM5)+0.5*H5-Tables!$B$24)),MIN(0.85*H5,0.85*((L5+AM5)+0.5*H5-Tables!$B$25)+MIN(Tables!$B$26,0.5*H5))))</f>
        <v/>
      </c>
      <c r="AO5">
        <f>R5+SUMPRODUCT(((MAX(0,L5+AM5+AN5-(Tables!$B$22+IF(B5&gt;=Tables!$B$27,2*Tables!$B$23,0))))&gt;Tables!$A$31:$A$37)*((MAX(0,L5+AM5+AN5-(Tables!$B$22+IF(B5&gt;=Tables!$B$27,2*Tables!$B$23,0))))-Tables!$A$31:$A$37)*Tables!$C$31:$C$37)-O5</f>
        <v/>
      </c>
      <c r="AP5">
        <f>IF((L5+AO5)+0.5*H5&lt;=Tables!$B$24,0,IF((L5+AO5)+0.5*H5&lt;=Tables!$B$25,MIN(0.5*H5,0.5*((L5+AO5)+0.5*H5-Tables!$B$24)),MIN(0.85*H5,0.85*((L5+AO5)+0.5*H5-Tables!$B$25)+MIN(Tables!$B$26,0.5*H5))))</f>
        <v/>
      </c>
      <c r="AQ5">
        <f>R5+SUMPRODUCT(((MAX(0,L5+AO5+AP5-(Tables!$B$22+IF(B5&gt;=Tables!$B$27,2*Tables!$B$23,0))))&gt;Tables!$A$31:$A$37)*((MAX(0,L5+AO5+AP5-(Tables!$B$22+IF(B5&gt;=Tables!$B$27,2*Tables!$B$23,0))))-Tables!$A$31:$A$37)*Tables!$C$31:$C$37)-O5</f>
        <v/>
      </c>
      <c r="AR5">
        <f>IF((L5+AQ5)+0.5*H5&lt;=Tables!$B$24,0,IF((L5+AQ5)+0.5*H5&lt;=Tables!$B$25,MIN(0.5*H5,0.5*((L5+AQ5)+0.5*H5-Tables!$B$24)),MIN(0.85*H5,0.85*((L5+AQ5)+0.5*H5-Tables!$B$25)+MIN(Tables!$B$26,0.5*H5))))</f>
        <v/>
      </c>
      <c r="AS5">
        <f>R5+SUMPRODUCT(((MAX(0,L5+AQ5+AR5-(Tables!$B$22+IF(B5&gt;=Tables!$B$27,2*Tables!$B$23,0))))&gt;Tables!$A$31:$A$37)*((MAX(0,L5+AQ5+AR5-(Tables!$B$22+IF(B5&gt;=Tables!$B$27,2*Tables!$B$23,0))))-Tables!$A$31:$A$37)*Tables!$C$31:$C$37)-O5</f>
        <v/>
      </c>
      <c r="AT5">
        <f>IF((L5+AS5)+0.5*H5&lt;=Tables!$B$24,0,IF((L5+AS5)+0.5*H5&lt;=Tables!$B$25,MIN(0.5*H5,0.5*((L5+AS5)+0.5*H5-Tables!$B$24)),MIN(0.85*H5,0.85*((L5+AS5)+0.5*H5-Tables!$B$25)+MIN(Tables!$B$26,0.5*H5))))</f>
        <v/>
      </c>
      <c r="AU5">
        <f>R5+SUMPRODUCT(((MAX(0,L5+AS5+AT5-(Tables!$B$22+IF(B5&gt;=Tables!$B$27,2*Tables!$B$23,0))))&gt;Tables!$A$31:$A$37)*((MAX(0,L5+AS5+AT5-(Tables!$B$22+IF(B5&gt;=Tables!$B$27,2*Tables!$B$23,0))))-Tables!$A$31:$A$37)*Tables!$C$31:$C$37)-O5</f>
        <v/>
      </c>
      <c r="AV5">
        <f>IF((L5+AU5)+0.5*H5&lt;=Tables!$B$24,0,IF((L5+AU5)+0.5*H5&lt;=Tables!$B$25,MIN(0.5*H5,0.5*((L5+AU5)+0.5*H5-Tables!$B$24)),MIN(0.85*H5,0.85*((L5+AU5)+0.5*H5-Tables!$B$25)+MIN(Tables!$B$26,0.5*H5))))</f>
        <v/>
      </c>
      <c r="AW5">
        <f>R5+SUMPRODUCT(((MAX(0,L5+AU5+AV5-(Tables!$B$22+IF(B5&gt;=Tables!$B$27,2*Tables!$B$23,0))))&gt;Tables!$A$31:$A$37)*((MAX(0,L5+AU5+AV5-(Tables!$B$22+IF(B5&gt;=Tables!$B$27,2*Tables!$B$23,0))))-Tables!$A$31:$A$37)*Tables!$C$31:$C$37)-O5</f>
        <v/>
      </c>
      <c r="AX5">
        <f>IF((L5+AW5)+0.5*H5&lt;=Tables!$B$24,0,IF((L5+AW5)+0.5*H5&lt;=Tables!$B$25,MIN(0.5*H5,0.5*((L5+AW5)+0.5*H5-Tables!$B$24)),MIN(0.85*H5,0.85*((L5+AW5)+0.5*H5-Tables!$B$25)+MIN(Tables!$B$26,0.5*H5))))</f>
        <v/>
      </c>
      <c r="AY5">
        <f>R5+SUMPRODUCT(((MAX(0,L5+AW5+AX5-(Tables!$B$22+IF(B5&gt;=Tables!$B$27,2*Tables!$B$23,0))))&gt;Tables!$A$31:$A$37)*((MAX(0,L5+AW5+AX5-(Tables!$B$22+IF(B5&gt;=Tables!$B$27,2*Tables!$B$23,0))))-Tables!$A$31:$A$37)*Tables!$C$31:$C$37)-O5</f>
        <v/>
      </c>
      <c r="AZ5">
        <f>IF((L5+AY5)+0.5*H5&lt;=Tables!$B$24,0,IF((L5+AY5)+0.5*H5&lt;=Tables!$B$25,MIN(0.5*H5,0.5*((L5+AY5)+0.5*H5-Tables!$B$24)),MIN(0.85*H5,0.85*((L5+AY5)+0.5*H5-Tables!$B$25)+MIN(Tables!$B$26,0.5*H5))))</f>
        <v/>
      </c>
      <c r="BA5">
        <f>R5+SUMPRODUCT(((MAX(0,L5+AY5+AZ5-(Tables!$B$22+IF(B5&gt;=Tables!$B$27,2*Tables!$B$23,0))))&gt;Tables!$A$31:$A$37)*((MAX(0,L5+AY5+AZ5-(Tables!$B$22+IF(B5&gt;=Tables!$B$27,2*Tables!$B$23,0))))-Tables!$A$31:$A$37)*Tables!$C$31:$C$37)-O5</f>
        <v/>
      </c>
      <c r="BB5">
        <f>IF((L5+BA5)+0.5*H5&lt;=Tables!$B$24,0,IF((L5+BA5)+0.5*H5&lt;=Tables!$B$25,MIN(0.5*H5,0.5*((L5+BA5)+0.5*H5-Tables!$B$24)),MIN(0.85*H5,0.85*((L5+BA5)+0.5*H5-Tables!$B$25)+MIN(Tables!$B$26,0.5*H5))))</f>
        <v/>
      </c>
      <c r="BC5">
        <f>R5+SUMPRODUCT(((MAX(0,L5+BA5+BB5-(Tables!$B$22+IF(B5&gt;=Tables!$B$27,2*Tables!$B$23,0))))&gt;Tables!$A$31:$A$37)*((MAX(0,L5+BA5+BB5-(Tables!$B$22+IF(B5&gt;=Tables!$B$27,2*Tables!$B$23,0))))-Tables!$A$31:$A$37)*Tables!$C$31:$C$37)-O5</f>
        <v/>
      </c>
      <c r="BD5">
        <f>IF((L5+BC5)+0.5*H5&lt;=Tables!$B$24,0,IF((L5+BC5)+0.5*H5&lt;=Tables!$B$25,MIN(0.5*H5,0.5*((L5+BC5)+0.5*H5-Tables!$B$24)),MIN(0.85*H5,0.85*((L5+BC5)+0.5*H5-Tables!$B$25)+MIN(Tables!$B$26,0.5*H5))))</f>
        <v/>
      </c>
      <c r="BE5">
        <f>R5+SUMPRODUCT(((MAX(0,L5+BC5+BD5-(Tables!$B$22+IF(B5&gt;=Tables!$B$27,2*Tables!$B$23,0))))&gt;Tables!$A$31:$A$37)*((MAX(0,L5+BC5+BD5-(Tables!$B$22+IF(B5&gt;=Tables!$B$27,2*Tables!$B$23,0))))-Tables!$A$31:$A$37)*Tables!$C$31:$C$37)-O5</f>
        <v/>
      </c>
      <c r="BF5">
        <f>IF((L5+BE5)+0.5*H5&lt;=Tables!$B$24,0,IF((L5+BE5)+0.5*H5&lt;=Tables!$B$25,MIN(0.5*H5,0.5*((L5+BE5)+0.5*H5-Tables!$B$24)),MIN(0.85*H5,0.85*((L5+BE5)+0.5*H5-Tables!$B$25)+MIN(Tables!$B$26,0.5*H5))))</f>
        <v/>
      </c>
      <c r="BG5">
        <f>R5+SUMPRODUCT(((MAX(0,L5+BE5+BF5-(Tables!$B$22+IF(B5&gt;=Tables!$B$27,2*Tables!$B$23,0))))&gt;Tables!$A$31:$A$37)*((MAX(0,L5+BE5+BF5-(Tables!$B$22+IF(B5&gt;=Tables!$B$27,2*Tables!$B$23,0))))-Tables!$A$31:$A$37)*Tables!$C$31:$C$37)-O5</f>
        <v/>
      </c>
      <c r="BH5">
        <f>IF((L5+BG5)+0.5*H5&lt;=Tables!$B$24,0,IF((L5+BG5)+0.5*H5&lt;=Tables!$B$25,MIN(0.5*H5,0.5*((L5+BG5)+0.5*H5-Tables!$B$24)),MIN(0.85*H5,0.85*((L5+BG5)+0.5*H5-Tables!$B$25)+MIN(Tables!$B$26,0.5*H5))))</f>
        <v/>
      </c>
      <c r="BI5">
        <f>R5+SUMPRODUCT(((MAX(0,L5+BG5+BH5-(Tables!$B$22+IF(B5&gt;=Tables!$B$27,2*Tables!$B$23,0))))&gt;Tables!$A$31:$A$37)*((MAX(0,L5+BG5+BH5-(Tables!$B$22+IF(B5&gt;=Tables!$B$27,2*Tables!$B$23,0))))-Tables!$A$31:$A$37)*Tables!$C$31:$C$37)-O5</f>
        <v/>
      </c>
      <c r="BJ5">
        <f>IF((L5+BI5)+0.5*H5&lt;=Tables!$B$24,0,IF((L5+BI5)+0.5*H5&lt;=Tables!$B$25,MIN(0.5*H5,0.5*((L5+BI5)+0.5*H5-Tables!$B$24)),MIN(0.85*H5,0.85*((L5+BI5)+0.5*H5-Tables!$B$25)+MIN(Tables!$B$26,0.5*H5))))</f>
        <v/>
      </c>
      <c r="BK5">
        <f>R5+SUMPRODUCT(((MAX(0,L5+BI5+BJ5-(Tables!$B$22+IF(B5&gt;=Tables!$B$27,2*Tables!$B$23,0))))&gt;Tables!$A$31:$A$37)*((MAX(0,L5+BI5+BJ5-(Tables!$B$22+IF(B5&gt;=Tables!$B$27,2*Tables!$B$23,0))))-Tables!$A$31:$A$37)*Tables!$C$31:$C$37)-O5</f>
        <v/>
      </c>
      <c r="BL5">
        <f>IF((L5+BK5)+0.5*H5&lt;=Tables!$B$24,0,IF((L5+BK5)+0.5*H5&lt;=Tables!$B$25,MIN(0.5*H5,0.5*((L5+BK5)+0.5*H5-Tables!$B$24)),MIN(0.85*H5,0.85*((L5+BK5)+0.5*H5-Tables!$B$25)+MIN(Tables!$B$26,0.5*H5))))</f>
        <v/>
      </c>
      <c r="BM5">
        <f>R5+SUMPRODUCT(((MAX(0,L5+BK5+BL5-(Tables!$B$22+IF(B5&gt;=Tables!$B$27,2*Tables!$B$23,0))))&gt;Tables!$A$31:$A$37)*((MAX(0,L5+BK5+BL5-(Tables!$B$22+IF(B5&gt;=Tables!$B$27,2*Tables!$B$23,0))))-Tables!$A$31:$A$37)*Tables!$C$31:$C$37)-O5</f>
        <v/>
      </c>
      <c r="BN5">
        <f>IF((L5+BM5)+0.5*H5&lt;=Tables!$B$24,0,IF((L5+BM5)+0.5*H5&lt;=Tables!$B$25,MIN(0.5*H5,0.5*((L5+BM5)+0.5*H5-Tables!$B$24)),MIN(0.85*H5,0.85*((L5+BM5)+0.5*H5-Tables!$B$25)+MIN(Tables!$B$26,0.5*H5))))</f>
        <v/>
      </c>
      <c r="BO5">
        <f>R5+SUMPRODUCT(((MAX(0,L5+BM5+BN5-(Tables!$B$22+IF(B5&gt;=Tables!$B$27,2*Tables!$B$23,0))))&gt;Tables!$A$31:$A$37)*((MAX(0,L5+BM5+BN5-(Tables!$B$22+IF(B5&gt;=Tables!$B$27,2*Tables!$B$23,0))))-Tables!$A$31:$A$37)*Tables!$C$31:$C$37)-O5</f>
        <v/>
      </c>
      <c r="BP5">
        <f>MIN(BO5,S5)</f>
        <v/>
      </c>
      <c r="BQ5">
        <f>L5+BP5</f>
        <v/>
      </c>
      <c r="BR5">
        <f>IF(BQ5+0.5*H5&lt;=Tables!$B$24,0,IF(BQ5+0.5*H5&lt;=Tables!$B$25,MIN(0.5*H5,0.5*(BQ5+0.5*H5-Tables!$B$24)),MIN(0.85*H5,0.85*(BQ5+0.5*H5-Tables!$B$25)+MIN(Tables!$B$26,0.5*H5))))</f>
        <v/>
      </c>
      <c r="BS5">
        <f>MAX(0,BQ5+BR5-(Tables!$B$22+IF(B5&gt;=Tables!$B$27,2*Tables!$B$23,0)))</f>
        <v/>
      </c>
      <c r="BT5">
        <f>SUMPRODUCT(((BS5)&gt;Tables!$A$31:$A$37)*((BS5)-Tables!$A$31:$A$37)*Tables!$C$31:$C$37)</f>
        <v/>
      </c>
      <c r="BU5">
        <f>MAX(0,G5-(H5+BQ5+Q5-BT5))</f>
        <v/>
      </c>
      <c r="BV5">
        <f>MIN(J5,BU5)</f>
        <v/>
      </c>
      <c r="BW5">
        <f>H5+BQ5+Q5+BV5</f>
        <v/>
      </c>
      <c r="BX5">
        <f>MAX(0,BW5-G5-BT5)</f>
        <v/>
      </c>
      <c r="BY5">
        <f>MAX(0,G5+BT5-BW5)</f>
        <v/>
      </c>
      <c r="BZ5">
        <f>IF(C5=0,0,MAX(0,I5-BQ5)*(1+D5))</f>
        <v/>
      </c>
      <c r="CA5">
        <f>IF(C5=0,0,MAX(0,J5-BV5)*(1+D5))</f>
        <v/>
      </c>
      <c r="CB5">
        <f>IF(C5=0,0,MAX(0,K5-Q5+BX5)*(1+D5))</f>
        <v/>
      </c>
      <c r="CC5">
        <f>IF(C5=0,CC4,BZ5+CA5+CB5)</f>
        <v/>
      </c>
      <c r="CD5">
        <f>IF(C5=0,9999,IF(OR(BY5&gt;0.0001,CC5&lt;=0.0001),B5,9999))</f>
        <v/>
      </c>
    </row>
    <row r="6">
      <c r="A6" t="n">
        <v>4</v>
      </c>
      <c r="B6">
        <f>Tables!$B$13+A6</f>
        <v/>
      </c>
      <c r="C6">
        <f>IF(B6&lt;=Tables!$B$18,1,0)</f>
        <v/>
      </c>
      <c r="D6">
        <f>INDEX(Tables!$B$83:$B$123,A6+1)</f>
        <v/>
      </c>
      <c r="E6">
        <f>IF(A6=0,0,INDEX(Tables!$B$83:$B$123,A6))</f>
        <v/>
      </c>
      <c r="F6">
        <f>IF(AND(C6=1,Tables!$B$17="YES",A6&gt;0,E6&lt;Tables!$B$16),Tables!$B$15,0)</f>
        <v/>
      </c>
      <c r="G6">
        <f>IF(C6=0,0,Tables!$B$8-IF(B6&gt;=Tables!$B$7,Tables!$B$6,0)+IF(B6&lt;Tables!$B$27,Tables!$B$9,Tables!$B$10)-F6)</f>
        <v/>
      </c>
      <c r="H6">
        <f>IF(C6=0,0,IF(B6&gt;=Tables!$B$78,Tables!$D$78,0)+IF(B6&gt;=Tables!$C$78,Tables!$E$78,0))</f>
        <v/>
      </c>
      <c r="I6">
        <f>IF(C6=0,0,BZ5)</f>
        <v/>
      </c>
      <c r="J6">
        <f>IF(C6=0,0,CA5)</f>
        <v/>
      </c>
      <c r="K6">
        <f>IF(C6=0,0,CB5)</f>
        <v/>
      </c>
      <c r="L6">
        <f>IF(C6=0,0,IF(B6&gt;=Tables!$B$19,MIN(I6,I6/VLOOKUP(B6,Tables!$A$41:$B$61,2,FALSE)),0))</f>
        <v/>
      </c>
      <c r="M6">
        <f>IF(L6+0.5*H6&lt;=Tables!$B$24,0,IF(L6+0.5*H6&lt;=Tables!$B$25,MIN(0.5*H6,0.5*(L6+0.5*H6-Tables!$B$24)),MIN(0.85*H6,0.85*(L6+0.5*H6-Tables!$B$25)+MIN(Tables!$B$26,0.5*H6))))</f>
        <v/>
      </c>
      <c r="N6">
        <f>MAX(0,L6+M6-(Tables!$B$22+IF(B6&gt;=Tables!$B$27,2*Tables!$B$23,0)))</f>
        <v/>
      </c>
      <c r="O6">
        <f>SUMPRODUCT(((N6)&gt;Tables!$A$31:$A$37)*((N6)-Tables!$A$31:$A$37)*Tables!$C$31:$C$37)</f>
        <v/>
      </c>
      <c r="P6">
        <f>G6-(H6+L6-O6)</f>
        <v/>
      </c>
      <c r="Q6">
        <f>MIN(K6,MAX(0,P6))</f>
        <v/>
      </c>
      <c r="R6">
        <f>MAX(0,P6-Q6)</f>
        <v/>
      </c>
      <c r="S6">
        <f>MAX(0,I6-L6)</f>
        <v/>
      </c>
      <c r="T6">
        <f>IF((L6+R6)+0.5*H6&lt;=Tables!$B$24,0,IF((L6+R6)+0.5*H6&lt;=Tables!$B$25,MIN(0.5*H6,0.5*((L6+R6)+0.5*H6-Tables!$B$24)),MIN(0.85*H6,0.85*((L6+R6)+0.5*H6-Tables!$B$25)+MIN(Tables!$B$26,0.5*H6))))</f>
        <v/>
      </c>
      <c r="U6">
        <f>R6+SUMPRODUCT(((MAX(0,L6+R6+T6-(Tables!$B$22+IF(B6&gt;=Tables!$B$27,2*Tables!$B$23,0))))&gt;Tables!$A$31:$A$37)*((MAX(0,L6+R6+T6-(Tables!$B$22+IF(B6&gt;=Tables!$B$27,2*Tables!$B$23,0))))-Tables!$A$31:$A$37)*Tables!$C$31:$C$37)-O6</f>
        <v/>
      </c>
      <c r="V6">
        <f>IF((L6+U6)+0.5*H6&lt;=Tables!$B$24,0,IF((L6+U6)+0.5*H6&lt;=Tables!$B$25,MIN(0.5*H6,0.5*((L6+U6)+0.5*H6-Tables!$B$24)),MIN(0.85*H6,0.85*((L6+U6)+0.5*H6-Tables!$B$25)+MIN(Tables!$B$26,0.5*H6))))</f>
        <v/>
      </c>
      <c r="W6">
        <f>R6+SUMPRODUCT(((MAX(0,L6+U6+V6-(Tables!$B$22+IF(B6&gt;=Tables!$B$27,2*Tables!$B$23,0))))&gt;Tables!$A$31:$A$37)*((MAX(0,L6+U6+V6-(Tables!$B$22+IF(B6&gt;=Tables!$B$27,2*Tables!$B$23,0))))-Tables!$A$31:$A$37)*Tables!$C$31:$C$37)-O6</f>
        <v/>
      </c>
      <c r="X6">
        <f>IF((L6+W6)+0.5*H6&lt;=Tables!$B$24,0,IF((L6+W6)+0.5*H6&lt;=Tables!$B$25,MIN(0.5*H6,0.5*((L6+W6)+0.5*H6-Tables!$B$24)),MIN(0.85*H6,0.85*((L6+W6)+0.5*H6-Tables!$B$25)+MIN(Tables!$B$26,0.5*H6))))</f>
        <v/>
      </c>
      <c r="Y6">
        <f>R6+SUMPRODUCT(((MAX(0,L6+W6+X6-(Tables!$B$22+IF(B6&gt;=Tables!$B$27,2*Tables!$B$23,0))))&gt;Tables!$A$31:$A$37)*((MAX(0,L6+W6+X6-(Tables!$B$22+IF(B6&gt;=Tables!$B$27,2*Tables!$B$23,0))))-Tables!$A$31:$A$37)*Tables!$C$31:$C$37)-O6</f>
        <v/>
      </c>
      <c r="Z6">
        <f>IF((L6+Y6)+0.5*H6&lt;=Tables!$B$24,0,IF((L6+Y6)+0.5*H6&lt;=Tables!$B$25,MIN(0.5*H6,0.5*((L6+Y6)+0.5*H6-Tables!$B$24)),MIN(0.85*H6,0.85*((L6+Y6)+0.5*H6-Tables!$B$25)+MIN(Tables!$B$26,0.5*H6))))</f>
        <v/>
      </c>
      <c r="AA6">
        <f>R6+SUMPRODUCT(((MAX(0,L6+Y6+Z6-(Tables!$B$22+IF(B6&gt;=Tables!$B$27,2*Tables!$B$23,0))))&gt;Tables!$A$31:$A$37)*((MAX(0,L6+Y6+Z6-(Tables!$B$22+IF(B6&gt;=Tables!$B$27,2*Tables!$B$23,0))))-Tables!$A$31:$A$37)*Tables!$C$31:$C$37)-O6</f>
        <v/>
      </c>
      <c r="AB6">
        <f>IF((L6+AA6)+0.5*H6&lt;=Tables!$B$24,0,IF((L6+AA6)+0.5*H6&lt;=Tables!$B$25,MIN(0.5*H6,0.5*((L6+AA6)+0.5*H6-Tables!$B$24)),MIN(0.85*H6,0.85*((L6+AA6)+0.5*H6-Tables!$B$25)+MIN(Tables!$B$26,0.5*H6))))</f>
        <v/>
      </c>
      <c r="AC6">
        <f>R6+SUMPRODUCT(((MAX(0,L6+AA6+AB6-(Tables!$B$22+IF(B6&gt;=Tables!$B$27,2*Tables!$B$23,0))))&gt;Tables!$A$31:$A$37)*((MAX(0,L6+AA6+AB6-(Tables!$B$22+IF(B6&gt;=Tables!$B$27,2*Tables!$B$23,0))))-Tables!$A$31:$A$37)*Tables!$C$31:$C$37)-O6</f>
        <v/>
      </c>
      <c r="AD6">
        <f>IF((L6+AC6)+0.5*H6&lt;=Tables!$B$24,0,IF((L6+AC6)+0.5*H6&lt;=Tables!$B$25,MIN(0.5*H6,0.5*((L6+AC6)+0.5*H6-Tables!$B$24)),MIN(0.85*H6,0.85*((L6+AC6)+0.5*H6-Tables!$B$25)+MIN(Tables!$B$26,0.5*H6))))</f>
        <v/>
      </c>
      <c r="AE6">
        <f>R6+SUMPRODUCT(((MAX(0,L6+AC6+AD6-(Tables!$B$22+IF(B6&gt;=Tables!$B$27,2*Tables!$B$23,0))))&gt;Tables!$A$31:$A$37)*((MAX(0,L6+AC6+AD6-(Tables!$B$22+IF(B6&gt;=Tables!$B$27,2*Tables!$B$23,0))))-Tables!$A$31:$A$37)*Tables!$C$31:$C$37)-O6</f>
        <v/>
      </c>
      <c r="AF6">
        <f>IF((L6+AE6)+0.5*H6&lt;=Tables!$B$24,0,IF((L6+AE6)+0.5*H6&lt;=Tables!$B$25,MIN(0.5*H6,0.5*((L6+AE6)+0.5*H6-Tables!$B$24)),MIN(0.85*H6,0.85*((L6+AE6)+0.5*H6-Tables!$B$25)+MIN(Tables!$B$26,0.5*H6))))</f>
        <v/>
      </c>
      <c r="AG6">
        <f>R6+SUMPRODUCT(((MAX(0,L6+AE6+AF6-(Tables!$B$22+IF(B6&gt;=Tables!$B$27,2*Tables!$B$23,0))))&gt;Tables!$A$31:$A$37)*((MAX(0,L6+AE6+AF6-(Tables!$B$22+IF(B6&gt;=Tables!$B$27,2*Tables!$B$23,0))))-Tables!$A$31:$A$37)*Tables!$C$31:$C$37)-O6</f>
        <v/>
      </c>
      <c r="AH6">
        <f>IF((L6+AG6)+0.5*H6&lt;=Tables!$B$24,0,IF((L6+AG6)+0.5*H6&lt;=Tables!$B$25,MIN(0.5*H6,0.5*((L6+AG6)+0.5*H6-Tables!$B$24)),MIN(0.85*H6,0.85*((L6+AG6)+0.5*H6-Tables!$B$25)+MIN(Tables!$B$26,0.5*H6))))</f>
        <v/>
      </c>
      <c r="AI6">
        <f>R6+SUMPRODUCT(((MAX(0,L6+AG6+AH6-(Tables!$B$22+IF(B6&gt;=Tables!$B$27,2*Tables!$B$23,0))))&gt;Tables!$A$31:$A$37)*((MAX(0,L6+AG6+AH6-(Tables!$B$22+IF(B6&gt;=Tables!$B$27,2*Tables!$B$23,0))))-Tables!$A$31:$A$37)*Tables!$C$31:$C$37)-O6</f>
        <v/>
      </c>
      <c r="AJ6">
        <f>IF((L6+AI6)+0.5*H6&lt;=Tables!$B$24,0,IF((L6+AI6)+0.5*H6&lt;=Tables!$B$25,MIN(0.5*H6,0.5*((L6+AI6)+0.5*H6-Tables!$B$24)),MIN(0.85*H6,0.85*((L6+AI6)+0.5*H6-Tables!$B$25)+MIN(Tables!$B$26,0.5*H6))))</f>
        <v/>
      </c>
      <c r="AK6">
        <f>R6+SUMPRODUCT(((MAX(0,L6+AI6+AJ6-(Tables!$B$22+IF(B6&gt;=Tables!$B$27,2*Tables!$B$23,0))))&gt;Tables!$A$31:$A$37)*((MAX(0,L6+AI6+AJ6-(Tables!$B$22+IF(B6&gt;=Tables!$B$27,2*Tables!$B$23,0))))-Tables!$A$31:$A$37)*Tables!$C$31:$C$37)-O6</f>
        <v/>
      </c>
      <c r="AL6">
        <f>IF((L6+AK6)+0.5*H6&lt;=Tables!$B$24,0,IF((L6+AK6)+0.5*H6&lt;=Tables!$B$25,MIN(0.5*H6,0.5*((L6+AK6)+0.5*H6-Tables!$B$24)),MIN(0.85*H6,0.85*((L6+AK6)+0.5*H6-Tables!$B$25)+MIN(Tables!$B$26,0.5*H6))))</f>
        <v/>
      </c>
      <c r="AM6">
        <f>R6+SUMPRODUCT(((MAX(0,L6+AK6+AL6-(Tables!$B$22+IF(B6&gt;=Tables!$B$27,2*Tables!$B$23,0))))&gt;Tables!$A$31:$A$37)*((MAX(0,L6+AK6+AL6-(Tables!$B$22+IF(B6&gt;=Tables!$B$27,2*Tables!$B$23,0))))-Tables!$A$31:$A$37)*Tables!$C$31:$C$37)-O6</f>
        <v/>
      </c>
      <c r="AN6">
        <f>IF((L6+AM6)+0.5*H6&lt;=Tables!$B$24,0,IF((L6+AM6)+0.5*H6&lt;=Tables!$B$25,MIN(0.5*H6,0.5*((L6+AM6)+0.5*H6-Tables!$B$24)),MIN(0.85*H6,0.85*((L6+AM6)+0.5*H6-Tables!$B$25)+MIN(Tables!$B$26,0.5*H6))))</f>
        <v/>
      </c>
      <c r="AO6">
        <f>R6+SUMPRODUCT(((MAX(0,L6+AM6+AN6-(Tables!$B$22+IF(B6&gt;=Tables!$B$27,2*Tables!$B$23,0))))&gt;Tables!$A$31:$A$37)*((MAX(0,L6+AM6+AN6-(Tables!$B$22+IF(B6&gt;=Tables!$B$27,2*Tables!$B$23,0))))-Tables!$A$31:$A$37)*Tables!$C$31:$C$37)-O6</f>
        <v/>
      </c>
      <c r="AP6">
        <f>IF((L6+AO6)+0.5*H6&lt;=Tables!$B$24,0,IF((L6+AO6)+0.5*H6&lt;=Tables!$B$25,MIN(0.5*H6,0.5*((L6+AO6)+0.5*H6-Tables!$B$24)),MIN(0.85*H6,0.85*((L6+AO6)+0.5*H6-Tables!$B$25)+MIN(Tables!$B$26,0.5*H6))))</f>
        <v/>
      </c>
      <c r="AQ6">
        <f>R6+SUMPRODUCT(((MAX(0,L6+AO6+AP6-(Tables!$B$22+IF(B6&gt;=Tables!$B$27,2*Tables!$B$23,0))))&gt;Tables!$A$31:$A$37)*((MAX(0,L6+AO6+AP6-(Tables!$B$22+IF(B6&gt;=Tables!$B$27,2*Tables!$B$23,0))))-Tables!$A$31:$A$37)*Tables!$C$31:$C$37)-O6</f>
        <v/>
      </c>
      <c r="AR6">
        <f>IF((L6+AQ6)+0.5*H6&lt;=Tables!$B$24,0,IF((L6+AQ6)+0.5*H6&lt;=Tables!$B$25,MIN(0.5*H6,0.5*((L6+AQ6)+0.5*H6-Tables!$B$24)),MIN(0.85*H6,0.85*((L6+AQ6)+0.5*H6-Tables!$B$25)+MIN(Tables!$B$26,0.5*H6))))</f>
        <v/>
      </c>
      <c r="AS6">
        <f>R6+SUMPRODUCT(((MAX(0,L6+AQ6+AR6-(Tables!$B$22+IF(B6&gt;=Tables!$B$27,2*Tables!$B$23,0))))&gt;Tables!$A$31:$A$37)*((MAX(0,L6+AQ6+AR6-(Tables!$B$22+IF(B6&gt;=Tables!$B$27,2*Tables!$B$23,0))))-Tables!$A$31:$A$37)*Tables!$C$31:$C$37)-O6</f>
        <v/>
      </c>
      <c r="AT6">
        <f>IF((L6+AS6)+0.5*H6&lt;=Tables!$B$24,0,IF((L6+AS6)+0.5*H6&lt;=Tables!$B$25,MIN(0.5*H6,0.5*((L6+AS6)+0.5*H6-Tables!$B$24)),MIN(0.85*H6,0.85*((L6+AS6)+0.5*H6-Tables!$B$25)+MIN(Tables!$B$26,0.5*H6))))</f>
        <v/>
      </c>
      <c r="AU6">
        <f>R6+SUMPRODUCT(((MAX(0,L6+AS6+AT6-(Tables!$B$22+IF(B6&gt;=Tables!$B$27,2*Tables!$B$23,0))))&gt;Tables!$A$31:$A$37)*((MAX(0,L6+AS6+AT6-(Tables!$B$22+IF(B6&gt;=Tables!$B$27,2*Tables!$B$23,0))))-Tables!$A$31:$A$37)*Tables!$C$31:$C$37)-O6</f>
        <v/>
      </c>
      <c r="AV6">
        <f>IF((L6+AU6)+0.5*H6&lt;=Tables!$B$24,0,IF((L6+AU6)+0.5*H6&lt;=Tables!$B$25,MIN(0.5*H6,0.5*((L6+AU6)+0.5*H6-Tables!$B$24)),MIN(0.85*H6,0.85*((L6+AU6)+0.5*H6-Tables!$B$25)+MIN(Tables!$B$26,0.5*H6))))</f>
        <v/>
      </c>
      <c r="AW6">
        <f>R6+SUMPRODUCT(((MAX(0,L6+AU6+AV6-(Tables!$B$22+IF(B6&gt;=Tables!$B$27,2*Tables!$B$23,0))))&gt;Tables!$A$31:$A$37)*((MAX(0,L6+AU6+AV6-(Tables!$B$22+IF(B6&gt;=Tables!$B$27,2*Tables!$B$23,0))))-Tables!$A$31:$A$37)*Tables!$C$31:$C$37)-O6</f>
        <v/>
      </c>
      <c r="AX6">
        <f>IF((L6+AW6)+0.5*H6&lt;=Tables!$B$24,0,IF((L6+AW6)+0.5*H6&lt;=Tables!$B$25,MIN(0.5*H6,0.5*((L6+AW6)+0.5*H6-Tables!$B$24)),MIN(0.85*H6,0.85*((L6+AW6)+0.5*H6-Tables!$B$25)+MIN(Tables!$B$26,0.5*H6))))</f>
        <v/>
      </c>
      <c r="AY6">
        <f>R6+SUMPRODUCT(((MAX(0,L6+AW6+AX6-(Tables!$B$22+IF(B6&gt;=Tables!$B$27,2*Tables!$B$23,0))))&gt;Tables!$A$31:$A$37)*((MAX(0,L6+AW6+AX6-(Tables!$B$22+IF(B6&gt;=Tables!$B$27,2*Tables!$B$23,0))))-Tables!$A$31:$A$37)*Tables!$C$31:$C$37)-O6</f>
        <v/>
      </c>
      <c r="AZ6">
        <f>IF((L6+AY6)+0.5*H6&lt;=Tables!$B$24,0,IF((L6+AY6)+0.5*H6&lt;=Tables!$B$25,MIN(0.5*H6,0.5*((L6+AY6)+0.5*H6-Tables!$B$24)),MIN(0.85*H6,0.85*((L6+AY6)+0.5*H6-Tables!$B$25)+MIN(Tables!$B$26,0.5*H6))))</f>
        <v/>
      </c>
      <c r="BA6">
        <f>R6+SUMPRODUCT(((MAX(0,L6+AY6+AZ6-(Tables!$B$22+IF(B6&gt;=Tables!$B$27,2*Tables!$B$23,0))))&gt;Tables!$A$31:$A$37)*((MAX(0,L6+AY6+AZ6-(Tables!$B$22+IF(B6&gt;=Tables!$B$27,2*Tables!$B$23,0))))-Tables!$A$31:$A$37)*Tables!$C$31:$C$37)-O6</f>
        <v/>
      </c>
      <c r="BB6">
        <f>IF((L6+BA6)+0.5*H6&lt;=Tables!$B$24,0,IF((L6+BA6)+0.5*H6&lt;=Tables!$B$25,MIN(0.5*H6,0.5*((L6+BA6)+0.5*H6-Tables!$B$24)),MIN(0.85*H6,0.85*((L6+BA6)+0.5*H6-Tables!$B$25)+MIN(Tables!$B$26,0.5*H6))))</f>
        <v/>
      </c>
      <c r="BC6">
        <f>R6+SUMPRODUCT(((MAX(0,L6+BA6+BB6-(Tables!$B$22+IF(B6&gt;=Tables!$B$27,2*Tables!$B$23,0))))&gt;Tables!$A$31:$A$37)*((MAX(0,L6+BA6+BB6-(Tables!$B$22+IF(B6&gt;=Tables!$B$27,2*Tables!$B$23,0))))-Tables!$A$31:$A$37)*Tables!$C$31:$C$37)-O6</f>
        <v/>
      </c>
      <c r="BD6">
        <f>IF((L6+BC6)+0.5*H6&lt;=Tables!$B$24,0,IF((L6+BC6)+0.5*H6&lt;=Tables!$B$25,MIN(0.5*H6,0.5*((L6+BC6)+0.5*H6-Tables!$B$24)),MIN(0.85*H6,0.85*((L6+BC6)+0.5*H6-Tables!$B$25)+MIN(Tables!$B$26,0.5*H6))))</f>
        <v/>
      </c>
      <c r="BE6">
        <f>R6+SUMPRODUCT(((MAX(0,L6+BC6+BD6-(Tables!$B$22+IF(B6&gt;=Tables!$B$27,2*Tables!$B$23,0))))&gt;Tables!$A$31:$A$37)*((MAX(0,L6+BC6+BD6-(Tables!$B$22+IF(B6&gt;=Tables!$B$27,2*Tables!$B$23,0))))-Tables!$A$31:$A$37)*Tables!$C$31:$C$37)-O6</f>
        <v/>
      </c>
      <c r="BF6">
        <f>IF((L6+BE6)+0.5*H6&lt;=Tables!$B$24,0,IF((L6+BE6)+0.5*H6&lt;=Tables!$B$25,MIN(0.5*H6,0.5*((L6+BE6)+0.5*H6-Tables!$B$24)),MIN(0.85*H6,0.85*((L6+BE6)+0.5*H6-Tables!$B$25)+MIN(Tables!$B$26,0.5*H6))))</f>
        <v/>
      </c>
      <c r="BG6">
        <f>R6+SUMPRODUCT(((MAX(0,L6+BE6+BF6-(Tables!$B$22+IF(B6&gt;=Tables!$B$27,2*Tables!$B$23,0))))&gt;Tables!$A$31:$A$37)*((MAX(0,L6+BE6+BF6-(Tables!$B$22+IF(B6&gt;=Tables!$B$27,2*Tables!$B$23,0))))-Tables!$A$31:$A$37)*Tables!$C$31:$C$37)-O6</f>
        <v/>
      </c>
      <c r="BH6">
        <f>IF((L6+BG6)+0.5*H6&lt;=Tables!$B$24,0,IF((L6+BG6)+0.5*H6&lt;=Tables!$B$25,MIN(0.5*H6,0.5*((L6+BG6)+0.5*H6-Tables!$B$24)),MIN(0.85*H6,0.85*((L6+BG6)+0.5*H6-Tables!$B$25)+MIN(Tables!$B$26,0.5*H6))))</f>
        <v/>
      </c>
      <c r="BI6">
        <f>R6+SUMPRODUCT(((MAX(0,L6+BG6+BH6-(Tables!$B$22+IF(B6&gt;=Tables!$B$27,2*Tables!$B$23,0))))&gt;Tables!$A$31:$A$37)*((MAX(0,L6+BG6+BH6-(Tables!$B$22+IF(B6&gt;=Tables!$B$27,2*Tables!$B$23,0))))-Tables!$A$31:$A$37)*Tables!$C$31:$C$37)-O6</f>
        <v/>
      </c>
      <c r="BJ6">
        <f>IF((L6+BI6)+0.5*H6&lt;=Tables!$B$24,0,IF((L6+BI6)+0.5*H6&lt;=Tables!$B$25,MIN(0.5*H6,0.5*((L6+BI6)+0.5*H6-Tables!$B$24)),MIN(0.85*H6,0.85*((L6+BI6)+0.5*H6-Tables!$B$25)+MIN(Tables!$B$26,0.5*H6))))</f>
        <v/>
      </c>
      <c r="BK6">
        <f>R6+SUMPRODUCT(((MAX(0,L6+BI6+BJ6-(Tables!$B$22+IF(B6&gt;=Tables!$B$27,2*Tables!$B$23,0))))&gt;Tables!$A$31:$A$37)*((MAX(0,L6+BI6+BJ6-(Tables!$B$22+IF(B6&gt;=Tables!$B$27,2*Tables!$B$23,0))))-Tables!$A$31:$A$37)*Tables!$C$31:$C$37)-O6</f>
        <v/>
      </c>
      <c r="BL6">
        <f>IF((L6+BK6)+0.5*H6&lt;=Tables!$B$24,0,IF((L6+BK6)+0.5*H6&lt;=Tables!$B$25,MIN(0.5*H6,0.5*((L6+BK6)+0.5*H6-Tables!$B$24)),MIN(0.85*H6,0.85*((L6+BK6)+0.5*H6-Tables!$B$25)+MIN(Tables!$B$26,0.5*H6))))</f>
        <v/>
      </c>
      <c r="BM6">
        <f>R6+SUMPRODUCT(((MAX(0,L6+BK6+BL6-(Tables!$B$22+IF(B6&gt;=Tables!$B$27,2*Tables!$B$23,0))))&gt;Tables!$A$31:$A$37)*((MAX(0,L6+BK6+BL6-(Tables!$B$22+IF(B6&gt;=Tables!$B$27,2*Tables!$B$23,0))))-Tables!$A$31:$A$37)*Tables!$C$31:$C$37)-O6</f>
        <v/>
      </c>
      <c r="BN6">
        <f>IF((L6+BM6)+0.5*H6&lt;=Tables!$B$24,0,IF((L6+BM6)+0.5*H6&lt;=Tables!$B$25,MIN(0.5*H6,0.5*((L6+BM6)+0.5*H6-Tables!$B$24)),MIN(0.85*H6,0.85*((L6+BM6)+0.5*H6-Tables!$B$25)+MIN(Tables!$B$26,0.5*H6))))</f>
        <v/>
      </c>
      <c r="BO6">
        <f>R6+SUMPRODUCT(((MAX(0,L6+BM6+BN6-(Tables!$B$22+IF(B6&gt;=Tables!$B$27,2*Tables!$B$23,0))))&gt;Tables!$A$31:$A$37)*((MAX(0,L6+BM6+BN6-(Tables!$B$22+IF(B6&gt;=Tables!$B$27,2*Tables!$B$23,0))))-Tables!$A$31:$A$37)*Tables!$C$31:$C$37)-O6</f>
        <v/>
      </c>
      <c r="BP6">
        <f>MIN(BO6,S6)</f>
        <v/>
      </c>
      <c r="BQ6">
        <f>L6+BP6</f>
        <v/>
      </c>
      <c r="BR6">
        <f>IF(BQ6+0.5*H6&lt;=Tables!$B$24,0,IF(BQ6+0.5*H6&lt;=Tables!$B$25,MIN(0.5*H6,0.5*(BQ6+0.5*H6-Tables!$B$24)),MIN(0.85*H6,0.85*(BQ6+0.5*H6-Tables!$B$25)+MIN(Tables!$B$26,0.5*H6))))</f>
        <v/>
      </c>
      <c r="BS6">
        <f>MAX(0,BQ6+BR6-(Tables!$B$22+IF(B6&gt;=Tables!$B$27,2*Tables!$B$23,0)))</f>
        <v/>
      </c>
      <c r="BT6">
        <f>SUMPRODUCT(((BS6)&gt;Tables!$A$31:$A$37)*((BS6)-Tables!$A$31:$A$37)*Tables!$C$31:$C$37)</f>
        <v/>
      </c>
      <c r="BU6">
        <f>MAX(0,G6-(H6+BQ6+Q6-BT6))</f>
        <v/>
      </c>
      <c r="BV6">
        <f>MIN(J6,BU6)</f>
        <v/>
      </c>
      <c r="BW6">
        <f>H6+BQ6+Q6+BV6</f>
        <v/>
      </c>
      <c r="BX6">
        <f>MAX(0,BW6-G6-BT6)</f>
        <v/>
      </c>
      <c r="BY6">
        <f>MAX(0,G6+BT6-BW6)</f>
        <v/>
      </c>
      <c r="BZ6">
        <f>IF(C6=0,0,MAX(0,I6-BQ6)*(1+D6))</f>
        <v/>
      </c>
      <c r="CA6">
        <f>IF(C6=0,0,MAX(0,J6-BV6)*(1+D6))</f>
        <v/>
      </c>
      <c r="CB6">
        <f>IF(C6=0,0,MAX(0,K6-Q6+BX6)*(1+D6))</f>
        <v/>
      </c>
      <c r="CC6">
        <f>IF(C6=0,CC5,BZ6+CA6+CB6)</f>
        <v/>
      </c>
      <c r="CD6">
        <f>IF(C6=0,9999,IF(OR(BY6&gt;0.0001,CC6&lt;=0.0001),B6,9999))</f>
        <v/>
      </c>
    </row>
    <row r="7">
      <c r="A7" t="n">
        <v>5</v>
      </c>
      <c r="B7">
        <f>Tables!$B$13+A7</f>
        <v/>
      </c>
      <c r="C7">
        <f>IF(B7&lt;=Tables!$B$18,1,0)</f>
        <v/>
      </c>
      <c r="D7">
        <f>INDEX(Tables!$B$83:$B$123,A7+1)</f>
        <v/>
      </c>
      <c r="E7">
        <f>IF(A7=0,0,INDEX(Tables!$B$83:$B$123,A7))</f>
        <v/>
      </c>
      <c r="F7">
        <f>IF(AND(C7=1,Tables!$B$17="YES",A7&gt;0,E7&lt;Tables!$B$16),Tables!$B$15,0)</f>
        <v/>
      </c>
      <c r="G7">
        <f>IF(C7=0,0,Tables!$B$8-IF(B7&gt;=Tables!$B$7,Tables!$B$6,0)+IF(B7&lt;Tables!$B$27,Tables!$B$9,Tables!$B$10)-F7)</f>
        <v/>
      </c>
      <c r="H7">
        <f>IF(C7=0,0,IF(B7&gt;=Tables!$B$78,Tables!$D$78,0)+IF(B7&gt;=Tables!$C$78,Tables!$E$78,0))</f>
        <v/>
      </c>
      <c r="I7">
        <f>IF(C7=0,0,BZ6)</f>
        <v/>
      </c>
      <c r="J7">
        <f>IF(C7=0,0,CA6)</f>
        <v/>
      </c>
      <c r="K7">
        <f>IF(C7=0,0,CB6)</f>
        <v/>
      </c>
      <c r="L7">
        <f>IF(C7=0,0,IF(B7&gt;=Tables!$B$19,MIN(I7,I7/VLOOKUP(B7,Tables!$A$41:$B$61,2,FALSE)),0))</f>
        <v/>
      </c>
      <c r="M7">
        <f>IF(L7+0.5*H7&lt;=Tables!$B$24,0,IF(L7+0.5*H7&lt;=Tables!$B$25,MIN(0.5*H7,0.5*(L7+0.5*H7-Tables!$B$24)),MIN(0.85*H7,0.85*(L7+0.5*H7-Tables!$B$25)+MIN(Tables!$B$26,0.5*H7))))</f>
        <v/>
      </c>
      <c r="N7">
        <f>MAX(0,L7+M7-(Tables!$B$22+IF(B7&gt;=Tables!$B$27,2*Tables!$B$23,0)))</f>
        <v/>
      </c>
      <c r="O7">
        <f>SUMPRODUCT(((N7)&gt;Tables!$A$31:$A$37)*((N7)-Tables!$A$31:$A$37)*Tables!$C$31:$C$37)</f>
        <v/>
      </c>
      <c r="P7">
        <f>G7-(H7+L7-O7)</f>
        <v/>
      </c>
      <c r="Q7">
        <f>MIN(K7,MAX(0,P7))</f>
        <v/>
      </c>
      <c r="R7">
        <f>MAX(0,P7-Q7)</f>
        <v/>
      </c>
      <c r="S7">
        <f>MAX(0,I7-L7)</f>
        <v/>
      </c>
      <c r="T7">
        <f>IF((L7+R7)+0.5*H7&lt;=Tables!$B$24,0,IF((L7+R7)+0.5*H7&lt;=Tables!$B$25,MIN(0.5*H7,0.5*((L7+R7)+0.5*H7-Tables!$B$24)),MIN(0.85*H7,0.85*((L7+R7)+0.5*H7-Tables!$B$25)+MIN(Tables!$B$26,0.5*H7))))</f>
        <v/>
      </c>
      <c r="U7">
        <f>R7+SUMPRODUCT(((MAX(0,L7+R7+T7-(Tables!$B$22+IF(B7&gt;=Tables!$B$27,2*Tables!$B$23,0))))&gt;Tables!$A$31:$A$37)*((MAX(0,L7+R7+T7-(Tables!$B$22+IF(B7&gt;=Tables!$B$27,2*Tables!$B$23,0))))-Tables!$A$31:$A$37)*Tables!$C$31:$C$37)-O7</f>
        <v/>
      </c>
      <c r="V7">
        <f>IF((L7+U7)+0.5*H7&lt;=Tables!$B$24,0,IF((L7+U7)+0.5*H7&lt;=Tables!$B$25,MIN(0.5*H7,0.5*((L7+U7)+0.5*H7-Tables!$B$24)),MIN(0.85*H7,0.85*((L7+U7)+0.5*H7-Tables!$B$25)+MIN(Tables!$B$26,0.5*H7))))</f>
        <v/>
      </c>
      <c r="W7">
        <f>R7+SUMPRODUCT(((MAX(0,L7+U7+V7-(Tables!$B$22+IF(B7&gt;=Tables!$B$27,2*Tables!$B$23,0))))&gt;Tables!$A$31:$A$37)*((MAX(0,L7+U7+V7-(Tables!$B$22+IF(B7&gt;=Tables!$B$27,2*Tables!$B$23,0))))-Tables!$A$31:$A$37)*Tables!$C$31:$C$37)-O7</f>
        <v/>
      </c>
      <c r="X7">
        <f>IF((L7+W7)+0.5*H7&lt;=Tables!$B$24,0,IF((L7+W7)+0.5*H7&lt;=Tables!$B$25,MIN(0.5*H7,0.5*((L7+W7)+0.5*H7-Tables!$B$24)),MIN(0.85*H7,0.85*((L7+W7)+0.5*H7-Tables!$B$25)+MIN(Tables!$B$26,0.5*H7))))</f>
        <v/>
      </c>
      <c r="Y7">
        <f>R7+SUMPRODUCT(((MAX(0,L7+W7+X7-(Tables!$B$22+IF(B7&gt;=Tables!$B$27,2*Tables!$B$23,0))))&gt;Tables!$A$31:$A$37)*((MAX(0,L7+W7+X7-(Tables!$B$22+IF(B7&gt;=Tables!$B$27,2*Tables!$B$23,0))))-Tables!$A$31:$A$37)*Tables!$C$31:$C$37)-O7</f>
        <v/>
      </c>
      <c r="Z7">
        <f>IF((L7+Y7)+0.5*H7&lt;=Tables!$B$24,0,IF((L7+Y7)+0.5*H7&lt;=Tables!$B$25,MIN(0.5*H7,0.5*((L7+Y7)+0.5*H7-Tables!$B$24)),MIN(0.85*H7,0.85*((L7+Y7)+0.5*H7-Tables!$B$25)+MIN(Tables!$B$26,0.5*H7))))</f>
        <v/>
      </c>
      <c r="AA7">
        <f>R7+SUMPRODUCT(((MAX(0,L7+Y7+Z7-(Tables!$B$22+IF(B7&gt;=Tables!$B$27,2*Tables!$B$23,0))))&gt;Tables!$A$31:$A$37)*((MAX(0,L7+Y7+Z7-(Tables!$B$22+IF(B7&gt;=Tables!$B$27,2*Tables!$B$23,0))))-Tables!$A$31:$A$37)*Tables!$C$31:$C$37)-O7</f>
        <v/>
      </c>
      <c r="AB7">
        <f>IF((L7+AA7)+0.5*H7&lt;=Tables!$B$24,0,IF((L7+AA7)+0.5*H7&lt;=Tables!$B$25,MIN(0.5*H7,0.5*((L7+AA7)+0.5*H7-Tables!$B$24)),MIN(0.85*H7,0.85*((L7+AA7)+0.5*H7-Tables!$B$25)+MIN(Tables!$B$26,0.5*H7))))</f>
        <v/>
      </c>
      <c r="AC7">
        <f>R7+SUMPRODUCT(((MAX(0,L7+AA7+AB7-(Tables!$B$22+IF(B7&gt;=Tables!$B$27,2*Tables!$B$23,0))))&gt;Tables!$A$31:$A$37)*((MAX(0,L7+AA7+AB7-(Tables!$B$22+IF(B7&gt;=Tables!$B$27,2*Tables!$B$23,0))))-Tables!$A$31:$A$37)*Tables!$C$31:$C$37)-O7</f>
        <v/>
      </c>
      <c r="AD7">
        <f>IF((L7+AC7)+0.5*H7&lt;=Tables!$B$24,0,IF((L7+AC7)+0.5*H7&lt;=Tables!$B$25,MIN(0.5*H7,0.5*((L7+AC7)+0.5*H7-Tables!$B$24)),MIN(0.85*H7,0.85*((L7+AC7)+0.5*H7-Tables!$B$25)+MIN(Tables!$B$26,0.5*H7))))</f>
        <v/>
      </c>
      <c r="AE7">
        <f>R7+SUMPRODUCT(((MAX(0,L7+AC7+AD7-(Tables!$B$22+IF(B7&gt;=Tables!$B$27,2*Tables!$B$23,0))))&gt;Tables!$A$31:$A$37)*((MAX(0,L7+AC7+AD7-(Tables!$B$22+IF(B7&gt;=Tables!$B$27,2*Tables!$B$23,0))))-Tables!$A$31:$A$37)*Tables!$C$31:$C$37)-O7</f>
        <v/>
      </c>
      <c r="AF7">
        <f>IF((L7+AE7)+0.5*H7&lt;=Tables!$B$24,0,IF((L7+AE7)+0.5*H7&lt;=Tables!$B$25,MIN(0.5*H7,0.5*((L7+AE7)+0.5*H7-Tables!$B$24)),MIN(0.85*H7,0.85*((L7+AE7)+0.5*H7-Tables!$B$25)+MIN(Tables!$B$26,0.5*H7))))</f>
        <v/>
      </c>
      <c r="AG7">
        <f>R7+SUMPRODUCT(((MAX(0,L7+AE7+AF7-(Tables!$B$22+IF(B7&gt;=Tables!$B$27,2*Tables!$B$23,0))))&gt;Tables!$A$31:$A$37)*((MAX(0,L7+AE7+AF7-(Tables!$B$22+IF(B7&gt;=Tables!$B$27,2*Tables!$B$23,0))))-Tables!$A$31:$A$37)*Tables!$C$31:$C$37)-O7</f>
        <v/>
      </c>
      <c r="AH7">
        <f>IF((L7+AG7)+0.5*H7&lt;=Tables!$B$24,0,IF((L7+AG7)+0.5*H7&lt;=Tables!$B$25,MIN(0.5*H7,0.5*((L7+AG7)+0.5*H7-Tables!$B$24)),MIN(0.85*H7,0.85*((L7+AG7)+0.5*H7-Tables!$B$25)+MIN(Tables!$B$26,0.5*H7))))</f>
        <v/>
      </c>
      <c r="AI7">
        <f>R7+SUMPRODUCT(((MAX(0,L7+AG7+AH7-(Tables!$B$22+IF(B7&gt;=Tables!$B$27,2*Tables!$B$23,0))))&gt;Tables!$A$31:$A$37)*((MAX(0,L7+AG7+AH7-(Tables!$B$22+IF(B7&gt;=Tables!$B$27,2*Tables!$B$23,0))))-Tables!$A$31:$A$37)*Tables!$C$31:$C$37)-O7</f>
        <v/>
      </c>
      <c r="AJ7">
        <f>IF((L7+AI7)+0.5*H7&lt;=Tables!$B$24,0,IF((L7+AI7)+0.5*H7&lt;=Tables!$B$25,MIN(0.5*H7,0.5*((L7+AI7)+0.5*H7-Tables!$B$24)),MIN(0.85*H7,0.85*((L7+AI7)+0.5*H7-Tables!$B$25)+MIN(Tables!$B$26,0.5*H7))))</f>
        <v/>
      </c>
      <c r="AK7">
        <f>R7+SUMPRODUCT(((MAX(0,L7+AI7+AJ7-(Tables!$B$22+IF(B7&gt;=Tables!$B$27,2*Tables!$B$23,0))))&gt;Tables!$A$31:$A$37)*((MAX(0,L7+AI7+AJ7-(Tables!$B$22+IF(B7&gt;=Tables!$B$27,2*Tables!$B$23,0))))-Tables!$A$31:$A$37)*Tables!$C$31:$C$37)-O7</f>
        <v/>
      </c>
      <c r="AL7">
        <f>IF((L7+AK7)+0.5*H7&lt;=Tables!$B$24,0,IF((L7+AK7)+0.5*H7&lt;=Tables!$B$25,MIN(0.5*H7,0.5*((L7+AK7)+0.5*H7-Tables!$B$24)),MIN(0.85*H7,0.85*((L7+AK7)+0.5*H7-Tables!$B$25)+MIN(Tables!$B$26,0.5*H7))))</f>
        <v/>
      </c>
      <c r="AM7">
        <f>R7+SUMPRODUCT(((MAX(0,L7+AK7+AL7-(Tables!$B$22+IF(B7&gt;=Tables!$B$27,2*Tables!$B$23,0))))&gt;Tables!$A$31:$A$37)*((MAX(0,L7+AK7+AL7-(Tables!$B$22+IF(B7&gt;=Tables!$B$27,2*Tables!$B$23,0))))-Tables!$A$31:$A$37)*Tables!$C$31:$C$37)-O7</f>
        <v/>
      </c>
      <c r="AN7">
        <f>IF((L7+AM7)+0.5*H7&lt;=Tables!$B$24,0,IF((L7+AM7)+0.5*H7&lt;=Tables!$B$25,MIN(0.5*H7,0.5*((L7+AM7)+0.5*H7-Tables!$B$24)),MIN(0.85*H7,0.85*((L7+AM7)+0.5*H7-Tables!$B$25)+MIN(Tables!$B$26,0.5*H7))))</f>
        <v/>
      </c>
      <c r="AO7">
        <f>R7+SUMPRODUCT(((MAX(0,L7+AM7+AN7-(Tables!$B$22+IF(B7&gt;=Tables!$B$27,2*Tables!$B$23,0))))&gt;Tables!$A$31:$A$37)*((MAX(0,L7+AM7+AN7-(Tables!$B$22+IF(B7&gt;=Tables!$B$27,2*Tables!$B$23,0))))-Tables!$A$31:$A$37)*Tables!$C$31:$C$37)-O7</f>
        <v/>
      </c>
      <c r="AP7">
        <f>IF((L7+AO7)+0.5*H7&lt;=Tables!$B$24,0,IF((L7+AO7)+0.5*H7&lt;=Tables!$B$25,MIN(0.5*H7,0.5*((L7+AO7)+0.5*H7-Tables!$B$24)),MIN(0.85*H7,0.85*((L7+AO7)+0.5*H7-Tables!$B$25)+MIN(Tables!$B$26,0.5*H7))))</f>
        <v/>
      </c>
      <c r="AQ7">
        <f>R7+SUMPRODUCT(((MAX(0,L7+AO7+AP7-(Tables!$B$22+IF(B7&gt;=Tables!$B$27,2*Tables!$B$23,0))))&gt;Tables!$A$31:$A$37)*((MAX(0,L7+AO7+AP7-(Tables!$B$22+IF(B7&gt;=Tables!$B$27,2*Tables!$B$23,0))))-Tables!$A$31:$A$37)*Tables!$C$31:$C$37)-O7</f>
        <v/>
      </c>
      <c r="AR7">
        <f>IF((L7+AQ7)+0.5*H7&lt;=Tables!$B$24,0,IF((L7+AQ7)+0.5*H7&lt;=Tables!$B$25,MIN(0.5*H7,0.5*((L7+AQ7)+0.5*H7-Tables!$B$24)),MIN(0.85*H7,0.85*((L7+AQ7)+0.5*H7-Tables!$B$25)+MIN(Tables!$B$26,0.5*H7))))</f>
        <v/>
      </c>
      <c r="AS7">
        <f>R7+SUMPRODUCT(((MAX(0,L7+AQ7+AR7-(Tables!$B$22+IF(B7&gt;=Tables!$B$27,2*Tables!$B$23,0))))&gt;Tables!$A$31:$A$37)*((MAX(0,L7+AQ7+AR7-(Tables!$B$22+IF(B7&gt;=Tables!$B$27,2*Tables!$B$23,0))))-Tables!$A$31:$A$37)*Tables!$C$31:$C$37)-O7</f>
        <v/>
      </c>
      <c r="AT7">
        <f>IF((L7+AS7)+0.5*H7&lt;=Tables!$B$24,0,IF((L7+AS7)+0.5*H7&lt;=Tables!$B$25,MIN(0.5*H7,0.5*((L7+AS7)+0.5*H7-Tables!$B$24)),MIN(0.85*H7,0.85*((L7+AS7)+0.5*H7-Tables!$B$25)+MIN(Tables!$B$26,0.5*H7))))</f>
        <v/>
      </c>
      <c r="AU7">
        <f>R7+SUMPRODUCT(((MAX(0,L7+AS7+AT7-(Tables!$B$22+IF(B7&gt;=Tables!$B$27,2*Tables!$B$23,0))))&gt;Tables!$A$31:$A$37)*((MAX(0,L7+AS7+AT7-(Tables!$B$22+IF(B7&gt;=Tables!$B$27,2*Tables!$B$23,0))))-Tables!$A$31:$A$37)*Tables!$C$31:$C$37)-O7</f>
        <v/>
      </c>
      <c r="AV7">
        <f>IF((L7+AU7)+0.5*H7&lt;=Tables!$B$24,0,IF((L7+AU7)+0.5*H7&lt;=Tables!$B$25,MIN(0.5*H7,0.5*((L7+AU7)+0.5*H7-Tables!$B$24)),MIN(0.85*H7,0.85*((L7+AU7)+0.5*H7-Tables!$B$25)+MIN(Tables!$B$26,0.5*H7))))</f>
        <v/>
      </c>
      <c r="AW7">
        <f>R7+SUMPRODUCT(((MAX(0,L7+AU7+AV7-(Tables!$B$22+IF(B7&gt;=Tables!$B$27,2*Tables!$B$23,0))))&gt;Tables!$A$31:$A$37)*((MAX(0,L7+AU7+AV7-(Tables!$B$22+IF(B7&gt;=Tables!$B$27,2*Tables!$B$23,0))))-Tables!$A$31:$A$37)*Tables!$C$31:$C$37)-O7</f>
        <v/>
      </c>
      <c r="AX7">
        <f>IF((L7+AW7)+0.5*H7&lt;=Tables!$B$24,0,IF((L7+AW7)+0.5*H7&lt;=Tables!$B$25,MIN(0.5*H7,0.5*((L7+AW7)+0.5*H7-Tables!$B$24)),MIN(0.85*H7,0.85*((L7+AW7)+0.5*H7-Tables!$B$25)+MIN(Tables!$B$26,0.5*H7))))</f>
        <v/>
      </c>
      <c r="AY7">
        <f>R7+SUMPRODUCT(((MAX(0,L7+AW7+AX7-(Tables!$B$22+IF(B7&gt;=Tables!$B$27,2*Tables!$B$23,0))))&gt;Tables!$A$31:$A$37)*((MAX(0,L7+AW7+AX7-(Tables!$B$22+IF(B7&gt;=Tables!$B$27,2*Tables!$B$23,0))))-Tables!$A$31:$A$37)*Tables!$C$31:$C$37)-O7</f>
        <v/>
      </c>
      <c r="AZ7">
        <f>IF((L7+AY7)+0.5*H7&lt;=Tables!$B$24,0,IF((L7+AY7)+0.5*H7&lt;=Tables!$B$25,MIN(0.5*H7,0.5*((L7+AY7)+0.5*H7-Tables!$B$24)),MIN(0.85*H7,0.85*((L7+AY7)+0.5*H7-Tables!$B$25)+MIN(Tables!$B$26,0.5*H7))))</f>
        <v/>
      </c>
      <c r="BA7">
        <f>R7+SUMPRODUCT(((MAX(0,L7+AY7+AZ7-(Tables!$B$22+IF(B7&gt;=Tables!$B$27,2*Tables!$B$23,0))))&gt;Tables!$A$31:$A$37)*((MAX(0,L7+AY7+AZ7-(Tables!$B$22+IF(B7&gt;=Tables!$B$27,2*Tables!$B$23,0))))-Tables!$A$31:$A$37)*Tables!$C$31:$C$37)-O7</f>
        <v/>
      </c>
      <c r="BB7">
        <f>IF((L7+BA7)+0.5*H7&lt;=Tables!$B$24,0,IF((L7+BA7)+0.5*H7&lt;=Tables!$B$25,MIN(0.5*H7,0.5*((L7+BA7)+0.5*H7-Tables!$B$24)),MIN(0.85*H7,0.85*((L7+BA7)+0.5*H7-Tables!$B$25)+MIN(Tables!$B$26,0.5*H7))))</f>
        <v/>
      </c>
      <c r="BC7">
        <f>R7+SUMPRODUCT(((MAX(0,L7+BA7+BB7-(Tables!$B$22+IF(B7&gt;=Tables!$B$27,2*Tables!$B$23,0))))&gt;Tables!$A$31:$A$37)*((MAX(0,L7+BA7+BB7-(Tables!$B$22+IF(B7&gt;=Tables!$B$27,2*Tables!$B$23,0))))-Tables!$A$31:$A$37)*Tables!$C$31:$C$37)-O7</f>
        <v/>
      </c>
      <c r="BD7">
        <f>IF((L7+BC7)+0.5*H7&lt;=Tables!$B$24,0,IF((L7+BC7)+0.5*H7&lt;=Tables!$B$25,MIN(0.5*H7,0.5*((L7+BC7)+0.5*H7-Tables!$B$24)),MIN(0.85*H7,0.85*((L7+BC7)+0.5*H7-Tables!$B$25)+MIN(Tables!$B$26,0.5*H7))))</f>
        <v/>
      </c>
      <c r="BE7">
        <f>R7+SUMPRODUCT(((MAX(0,L7+BC7+BD7-(Tables!$B$22+IF(B7&gt;=Tables!$B$27,2*Tables!$B$23,0))))&gt;Tables!$A$31:$A$37)*((MAX(0,L7+BC7+BD7-(Tables!$B$22+IF(B7&gt;=Tables!$B$27,2*Tables!$B$23,0))))-Tables!$A$31:$A$37)*Tables!$C$31:$C$37)-O7</f>
        <v/>
      </c>
      <c r="BF7">
        <f>IF((L7+BE7)+0.5*H7&lt;=Tables!$B$24,0,IF((L7+BE7)+0.5*H7&lt;=Tables!$B$25,MIN(0.5*H7,0.5*((L7+BE7)+0.5*H7-Tables!$B$24)),MIN(0.85*H7,0.85*((L7+BE7)+0.5*H7-Tables!$B$25)+MIN(Tables!$B$26,0.5*H7))))</f>
        <v/>
      </c>
      <c r="BG7">
        <f>R7+SUMPRODUCT(((MAX(0,L7+BE7+BF7-(Tables!$B$22+IF(B7&gt;=Tables!$B$27,2*Tables!$B$23,0))))&gt;Tables!$A$31:$A$37)*((MAX(0,L7+BE7+BF7-(Tables!$B$22+IF(B7&gt;=Tables!$B$27,2*Tables!$B$23,0))))-Tables!$A$31:$A$37)*Tables!$C$31:$C$37)-O7</f>
        <v/>
      </c>
      <c r="BH7">
        <f>IF((L7+BG7)+0.5*H7&lt;=Tables!$B$24,0,IF((L7+BG7)+0.5*H7&lt;=Tables!$B$25,MIN(0.5*H7,0.5*((L7+BG7)+0.5*H7-Tables!$B$24)),MIN(0.85*H7,0.85*((L7+BG7)+0.5*H7-Tables!$B$25)+MIN(Tables!$B$26,0.5*H7))))</f>
        <v/>
      </c>
      <c r="BI7">
        <f>R7+SUMPRODUCT(((MAX(0,L7+BG7+BH7-(Tables!$B$22+IF(B7&gt;=Tables!$B$27,2*Tables!$B$23,0))))&gt;Tables!$A$31:$A$37)*((MAX(0,L7+BG7+BH7-(Tables!$B$22+IF(B7&gt;=Tables!$B$27,2*Tables!$B$23,0))))-Tables!$A$31:$A$37)*Tables!$C$31:$C$37)-O7</f>
        <v/>
      </c>
      <c r="BJ7">
        <f>IF((L7+BI7)+0.5*H7&lt;=Tables!$B$24,0,IF((L7+BI7)+0.5*H7&lt;=Tables!$B$25,MIN(0.5*H7,0.5*((L7+BI7)+0.5*H7-Tables!$B$24)),MIN(0.85*H7,0.85*((L7+BI7)+0.5*H7-Tables!$B$25)+MIN(Tables!$B$26,0.5*H7))))</f>
        <v/>
      </c>
      <c r="BK7">
        <f>R7+SUMPRODUCT(((MAX(0,L7+BI7+BJ7-(Tables!$B$22+IF(B7&gt;=Tables!$B$27,2*Tables!$B$23,0))))&gt;Tables!$A$31:$A$37)*((MAX(0,L7+BI7+BJ7-(Tables!$B$22+IF(B7&gt;=Tables!$B$27,2*Tables!$B$23,0))))-Tables!$A$31:$A$37)*Tables!$C$31:$C$37)-O7</f>
        <v/>
      </c>
      <c r="BL7">
        <f>IF((L7+BK7)+0.5*H7&lt;=Tables!$B$24,0,IF((L7+BK7)+0.5*H7&lt;=Tables!$B$25,MIN(0.5*H7,0.5*((L7+BK7)+0.5*H7-Tables!$B$24)),MIN(0.85*H7,0.85*((L7+BK7)+0.5*H7-Tables!$B$25)+MIN(Tables!$B$26,0.5*H7))))</f>
        <v/>
      </c>
      <c r="BM7">
        <f>R7+SUMPRODUCT(((MAX(0,L7+BK7+BL7-(Tables!$B$22+IF(B7&gt;=Tables!$B$27,2*Tables!$B$23,0))))&gt;Tables!$A$31:$A$37)*((MAX(0,L7+BK7+BL7-(Tables!$B$22+IF(B7&gt;=Tables!$B$27,2*Tables!$B$23,0))))-Tables!$A$31:$A$37)*Tables!$C$31:$C$37)-O7</f>
        <v/>
      </c>
      <c r="BN7">
        <f>IF((L7+BM7)+0.5*H7&lt;=Tables!$B$24,0,IF((L7+BM7)+0.5*H7&lt;=Tables!$B$25,MIN(0.5*H7,0.5*((L7+BM7)+0.5*H7-Tables!$B$24)),MIN(0.85*H7,0.85*((L7+BM7)+0.5*H7-Tables!$B$25)+MIN(Tables!$B$26,0.5*H7))))</f>
        <v/>
      </c>
      <c r="BO7">
        <f>R7+SUMPRODUCT(((MAX(0,L7+BM7+BN7-(Tables!$B$22+IF(B7&gt;=Tables!$B$27,2*Tables!$B$23,0))))&gt;Tables!$A$31:$A$37)*((MAX(0,L7+BM7+BN7-(Tables!$B$22+IF(B7&gt;=Tables!$B$27,2*Tables!$B$23,0))))-Tables!$A$31:$A$37)*Tables!$C$31:$C$37)-O7</f>
        <v/>
      </c>
      <c r="BP7">
        <f>MIN(BO7,S7)</f>
        <v/>
      </c>
      <c r="BQ7">
        <f>L7+BP7</f>
        <v/>
      </c>
      <c r="BR7">
        <f>IF(BQ7+0.5*H7&lt;=Tables!$B$24,0,IF(BQ7+0.5*H7&lt;=Tables!$B$25,MIN(0.5*H7,0.5*(BQ7+0.5*H7-Tables!$B$24)),MIN(0.85*H7,0.85*(BQ7+0.5*H7-Tables!$B$25)+MIN(Tables!$B$26,0.5*H7))))</f>
        <v/>
      </c>
      <c r="BS7">
        <f>MAX(0,BQ7+BR7-(Tables!$B$22+IF(B7&gt;=Tables!$B$27,2*Tables!$B$23,0)))</f>
        <v/>
      </c>
      <c r="BT7">
        <f>SUMPRODUCT(((BS7)&gt;Tables!$A$31:$A$37)*((BS7)-Tables!$A$31:$A$37)*Tables!$C$31:$C$37)</f>
        <v/>
      </c>
      <c r="BU7">
        <f>MAX(0,G7-(H7+BQ7+Q7-BT7))</f>
        <v/>
      </c>
      <c r="BV7">
        <f>MIN(J7,BU7)</f>
        <v/>
      </c>
      <c r="BW7">
        <f>H7+BQ7+Q7+BV7</f>
        <v/>
      </c>
      <c r="BX7">
        <f>MAX(0,BW7-G7-BT7)</f>
        <v/>
      </c>
      <c r="BY7">
        <f>MAX(0,G7+BT7-BW7)</f>
        <v/>
      </c>
      <c r="BZ7">
        <f>IF(C7=0,0,MAX(0,I7-BQ7)*(1+D7))</f>
        <v/>
      </c>
      <c r="CA7">
        <f>IF(C7=0,0,MAX(0,J7-BV7)*(1+D7))</f>
        <v/>
      </c>
      <c r="CB7">
        <f>IF(C7=0,0,MAX(0,K7-Q7+BX7)*(1+D7))</f>
        <v/>
      </c>
      <c r="CC7">
        <f>IF(C7=0,CC6,BZ7+CA7+CB7)</f>
        <v/>
      </c>
      <c r="CD7">
        <f>IF(C7=0,9999,IF(OR(BY7&gt;0.0001,CC7&lt;=0.0001),B7,9999))</f>
        <v/>
      </c>
    </row>
    <row r="8">
      <c r="A8" t="n">
        <v>6</v>
      </c>
      <c r="B8">
        <f>Tables!$B$13+A8</f>
        <v/>
      </c>
      <c r="C8">
        <f>IF(B8&lt;=Tables!$B$18,1,0)</f>
        <v/>
      </c>
      <c r="D8">
        <f>INDEX(Tables!$B$83:$B$123,A8+1)</f>
        <v/>
      </c>
      <c r="E8">
        <f>IF(A8=0,0,INDEX(Tables!$B$83:$B$123,A8))</f>
        <v/>
      </c>
      <c r="F8">
        <f>IF(AND(C8=1,Tables!$B$17="YES",A8&gt;0,E8&lt;Tables!$B$16),Tables!$B$15,0)</f>
        <v/>
      </c>
      <c r="G8">
        <f>IF(C8=0,0,Tables!$B$8-IF(B8&gt;=Tables!$B$7,Tables!$B$6,0)+IF(B8&lt;Tables!$B$27,Tables!$B$9,Tables!$B$10)-F8)</f>
        <v/>
      </c>
      <c r="H8">
        <f>IF(C8=0,0,IF(B8&gt;=Tables!$B$78,Tables!$D$78,0)+IF(B8&gt;=Tables!$C$78,Tables!$E$78,0))</f>
        <v/>
      </c>
      <c r="I8">
        <f>IF(C8=0,0,BZ7)</f>
        <v/>
      </c>
      <c r="J8">
        <f>IF(C8=0,0,CA7)</f>
        <v/>
      </c>
      <c r="K8">
        <f>IF(C8=0,0,CB7)</f>
        <v/>
      </c>
      <c r="L8">
        <f>IF(C8=0,0,IF(B8&gt;=Tables!$B$19,MIN(I8,I8/VLOOKUP(B8,Tables!$A$41:$B$61,2,FALSE)),0))</f>
        <v/>
      </c>
      <c r="M8">
        <f>IF(L8+0.5*H8&lt;=Tables!$B$24,0,IF(L8+0.5*H8&lt;=Tables!$B$25,MIN(0.5*H8,0.5*(L8+0.5*H8-Tables!$B$24)),MIN(0.85*H8,0.85*(L8+0.5*H8-Tables!$B$25)+MIN(Tables!$B$26,0.5*H8))))</f>
        <v/>
      </c>
      <c r="N8">
        <f>MAX(0,L8+M8-(Tables!$B$22+IF(B8&gt;=Tables!$B$27,2*Tables!$B$23,0)))</f>
        <v/>
      </c>
      <c r="O8">
        <f>SUMPRODUCT(((N8)&gt;Tables!$A$31:$A$37)*((N8)-Tables!$A$31:$A$37)*Tables!$C$31:$C$37)</f>
        <v/>
      </c>
      <c r="P8">
        <f>G8-(H8+L8-O8)</f>
        <v/>
      </c>
      <c r="Q8">
        <f>MIN(K8,MAX(0,P8))</f>
        <v/>
      </c>
      <c r="R8">
        <f>MAX(0,P8-Q8)</f>
        <v/>
      </c>
      <c r="S8">
        <f>MAX(0,I8-L8)</f>
        <v/>
      </c>
      <c r="T8">
        <f>IF((L8+R8)+0.5*H8&lt;=Tables!$B$24,0,IF((L8+R8)+0.5*H8&lt;=Tables!$B$25,MIN(0.5*H8,0.5*((L8+R8)+0.5*H8-Tables!$B$24)),MIN(0.85*H8,0.85*((L8+R8)+0.5*H8-Tables!$B$25)+MIN(Tables!$B$26,0.5*H8))))</f>
        <v/>
      </c>
      <c r="U8">
        <f>R8+SUMPRODUCT(((MAX(0,L8+R8+T8-(Tables!$B$22+IF(B8&gt;=Tables!$B$27,2*Tables!$B$23,0))))&gt;Tables!$A$31:$A$37)*((MAX(0,L8+R8+T8-(Tables!$B$22+IF(B8&gt;=Tables!$B$27,2*Tables!$B$23,0))))-Tables!$A$31:$A$37)*Tables!$C$31:$C$37)-O8</f>
        <v/>
      </c>
      <c r="V8">
        <f>IF((L8+U8)+0.5*H8&lt;=Tables!$B$24,0,IF((L8+U8)+0.5*H8&lt;=Tables!$B$25,MIN(0.5*H8,0.5*((L8+U8)+0.5*H8-Tables!$B$24)),MIN(0.85*H8,0.85*((L8+U8)+0.5*H8-Tables!$B$25)+MIN(Tables!$B$26,0.5*H8))))</f>
        <v/>
      </c>
      <c r="W8">
        <f>R8+SUMPRODUCT(((MAX(0,L8+U8+V8-(Tables!$B$22+IF(B8&gt;=Tables!$B$27,2*Tables!$B$23,0))))&gt;Tables!$A$31:$A$37)*((MAX(0,L8+U8+V8-(Tables!$B$22+IF(B8&gt;=Tables!$B$27,2*Tables!$B$23,0))))-Tables!$A$31:$A$37)*Tables!$C$31:$C$37)-O8</f>
        <v/>
      </c>
      <c r="X8">
        <f>IF((L8+W8)+0.5*H8&lt;=Tables!$B$24,0,IF((L8+W8)+0.5*H8&lt;=Tables!$B$25,MIN(0.5*H8,0.5*((L8+W8)+0.5*H8-Tables!$B$24)),MIN(0.85*H8,0.85*((L8+W8)+0.5*H8-Tables!$B$25)+MIN(Tables!$B$26,0.5*H8))))</f>
        <v/>
      </c>
      <c r="Y8">
        <f>R8+SUMPRODUCT(((MAX(0,L8+W8+X8-(Tables!$B$22+IF(B8&gt;=Tables!$B$27,2*Tables!$B$23,0))))&gt;Tables!$A$31:$A$37)*((MAX(0,L8+W8+X8-(Tables!$B$22+IF(B8&gt;=Tables!$B$27,2*Tables!$B$23,0))))-Tables!$A$31:$A$37)*Tables!$C$31:$C$37)-O8</f>
        <v/>
      </c>
      <c r="Z8">
        <f>IF((L8+Y8)+0.5*H8&lt;=Tables!$B$24,0,IF((L8+Y8)+0.5*H8&lt;=Tables!$B$25,MIN(0.5*H8,0.5*((L8+Y8)+0.5*H8-Tables!$B$24)),MIN(0.85*H8,0.85*((L8+Y8)+0.5*H8-Tables!$B$25)+MIN(Tables!$B$26,0.5*H8))))</f>
        <v/>
      </c>
      <c r="AA8">
        <f>R8+SUMPRODUCT(((MAX(0,L8+Y8+Z8-(Tables!$B$22+IF(B8&gt;=Tables!$B$27,2*Tables!$B$23,0))))&gt;Tables!$A$31:$A$37)*((MAX(0,L8+Y8+Z8-(Tables!$B$22+IF(B8&gt;=Tables!$B$27,2*Tables!$B$23,0))))-Tables!$A$31:$A$37)*Tables!$C$31:$C$37)-O8</f>
        <v/>
      </c>
      <c r="AB8">
        <f>IF((L8+AA8)+0.5*H8&lt;=Tables!$B$24,0,IF((L8+AA8)+0.5*H8&lt;=Tables!$B$25,MIN(0.5*H8,0.5*((L8+AA8)+0.5*H8-Tables!$B$24)),MIN(0.85*H8,0.85*((L8+AA8)+0.5*H8-Tables!$B$25)+MIN(Tables!$B$26,0.5*H8))))</f>
        <v/>
      </c>
      <c r="AC8">
        <f>R8+SUMPRODUCT(((MAX(0,L8+AA8+AB8-(Tables!$B$22+IF(B8&gt;=Tables!$B$27,2*Tables!$B$23,0))))&gt;Tables!$A$31:$A$37)*((MAX(0,L8+AA8+AB8-(Tables!$B$22+IF(B8&gt;=Tables!$B$27,2*Tables!$B$23,0))))-Tables!$A$31:$A$37)*Tables!$C$31:$C$37)-O8</f>
        <v/>
      </c>
      <c r="AD8">
        <f>IF((L8+AC8)+0.5*H8&lt;=Tables!$B$24,0,IF((L8+AC8)+0.5*H8&lt;=Tables!$B$25,MIN(0.5*H8,0.5*((L8+AC8)+0.5*H8-Tables!$B$24)),MIN(0.85*H8,0.85*((L8+AC8)+0.5*H8-Tables!$B$25)+MIN(Tables!$B$26,0.5*H8))))</f>
        <v/>
      </c>
      <c r="AE8">
        <f>R8+SUMPRODUCT(((MAX(0,L8+AC8+AD8-(Tables!$B$22+IF(B8&gt;=Tables!$B$27,2*Tables!$B$23,0))))&gt;Tables!$A$31:$A$37)*((MAX(0,L8+AC8+AD8-(Tables!$B$22+IF(B8&gt;=Tables!$B$27,2*Tables!$B$23,0))))-Tables!$A$31:$A$37)*Tables!$C$31:$C$37)-O8</f>
        <v/>
      </c>
      <c r="AF8">
        <f>IF((L8+AE8)+0.5*H8&lt;=Tables!$B$24,0,IF((L8+AE8)+0.5*H8&lt;=Tables!$B$25,MIN(0.5*H8,0.5*((L8+AE8)+0.5*H8-Tables!$B$24)),MIN(0.85*H8,0.85*((L8+AE8)+0.5*H8-Tables!$B$25)+MIN(Tables!$B$26,0.5*H8))))</f>
        <v/>
      </c>
      <c r="AG8">
        <f>R8+SUMPRODUCT(((MAX(0,L8+AE8+AF8-(Tables!$B$22+IF(B8&gt;=Tables!$B$27,2*Tables!$B$23,0))))&gt;Tables!$A$31:$A$37)*((MAX(0,L8+AE8+AF8-(Tables!$B$22+IF(B8&gt;=Tables!$B$27,2*Tables!$B$23,0))))-Tables!$A$31:$A$37)*Tables!$C$31:$C$37)-O8</f>
        <v/>
      </c>
      <c r="AH8">
        <f>IF((L8+AG8)+0.5*H8&lt;=Tables!$B$24,0,IF((L8+AG8)+0.5*H8&lt;=Tables!$B$25,MIN(0.5*H8,0.5*((L8+AG8)+0.5*H8-Tables!$B$24)),MIN(0.85*H8,0.85*((L8+AG8)+0.5*H8-Tables!$B$25)+MIN(Tables!$B$26,0.5*H8))))</f>
        <v/>
      </c>
      <c r="AI8">
        <f>R8+SUMPRODUCT(((MAX(0,L8+AG8+AH8-(Tables!$B$22+IF(B8&gt;=Tables!$B$27,2*Tables!$B$23,0))))&gt;Tables!$A$31:$A$37)*((MAX(0,L8+AG8+AH8-(Tables!$B$22+IF(B8&gt;=Tables!$B$27,2*Tables!$B$23,0))))-Tables!$A$31:$A$37)*Tables!$C$31:$C$37)-O8</f>
        <v/>
      </c>
      <c r="AJ8">
        <f>IF((L8+AI8)+0.5*H8&lt;=Tables!$B$24,0,IF((L8+AI8)+0.5*H8&lt;=Tables!$B$25,MIN(0.5*H8,0.5*((L8+AI8)+0.5*H8-Tables!$B$24)),MIN(0.85*H8,0.85*((L8+AI8)+0.5*H8-Tables!$B$25)+MIN(Tables!$B$26,0.5*H8))))</f>
        <v/>
      </c>
      <c r="AK8">
        <f>R8+SUMPRODUCT(((MAX(0,L8+AI8+AJ8-(Tables!$B$22+IF(B8&gt;=Tables!$B$27,2*Tables!$B$23,0))))&gt;Tables!$A$31:$A$37)*((MAX(0,L8+AI8+AJ8-(Tables!$B$22+IF(B8&gt;=Tables!$B$27,2*Tables!$B$23,0))))-Tables!$A$31:$A$37)*Tables!$C$31:$C$37)-O8</f>
        <v/>
      </c>
      <c r="AL8">
        <f>IF((L8+AK8)+0.5*H8&lt;=Tables!$B$24,0,IF((L8+AK8)+0.5*H8&lt;=Tables!$B$25,MIN(0.5*H8,0.5*((L8+AK8)+0.5*H8-Tables!$B$24)),MIN(0.85*H8,0.85*((L8+AK8)+0.5*H8-Tables!$B$25)+MIN(Tables!$B$26,0.5*H8))))</f>
        <v/>
      </c>
      <c r="AM8">
        <f>R8+SUMPRODUCT(((MAX(0,L8+AK8+AL8-(Tables!$B$22+IF(B8&gt;=Tables!$B$27,2*Tables!$B$23,0))))&gt;Tables!$A$31:$A$37)*((MAX(0,L8+AK8+AL8-(Tables!$B$22+IF(B8&gt;=Tables!$B$27,2*Tables!$B$23,0))))-Tables!$A$31:$A$37)*Tables!$C$31:$C$37)-O8</f>
        <v/>
      </c>
      <c r="AN8">
        <f>IF((L8+AM8)+0.5*H8&lt;=Tables!$B$24,0,IF((L8+AM8)+0.5*H8&lt;=Tables!$B$25,MIN(0.5*H8,0.5*((L8+AM8)+0.5*H8-Tables!$B$24)),MIN(0.85*H8,0.85*((L8+AM8)+0.5*H8-Tables!$B$25)+MIN(Tables!$B$26,0.5*H8))))</f>
        <v/>
      </c>
      <c r="AO8">
        <f>R8+SUMPRODUCT(((MAX(0,L8+AM8+AN8-(Tables!$B$22+IF(B8&gt;=Tables!$B$27,2*Tables!$B$23,0))))&gt;Tables!$A$31:$A$37)*((MAX(0,L8+AM8+AN8-(Tables!$B$22+IF(B8&gt;=Tables!$B$27,2*Tables!$B$23,0))))-Tables!$A$31:$A$37)*Tables!$C$31:$C$37)-O8</f>
        <v/>
      </c>
      <c r="AP8">
        <f>IF((L8+AO8)+0.5*H8&lt;=Tables!$B$24,0,IF((L8+AO8)+0.5*H8&lt;=Tables!$B$25,MIN(0.5*H8,0.5*((L8+AO8)+0.5*H8-Tables!$B$24)),MIN(0.85*H8,0.85*((L8+AO8)+0.5*H8-Tables!$B$25)+MIN(Tables!$B$26,0.5*H8))))</f>
        <v/>
      </c>
      <c r="AQ8">
        <f>R8+SUMPRODUCT(((MAX(0,L8+AO8+AP8-(Tables!$B$22+IF(B8&gt;=Tables!$B$27,2*Tables!$B$23,0))))&gt;Tables!$A$31:$A$37)*((MAX(0,L8+AO8+AP8-(Tables!$B$22+IF(B8&gt;=Tables!$B$27,2*Tables!$B$23,0))))-Tables!$A$31:$A$37)*Tables!$C$31:$C$37)-O8</f>
        <v/>
      </c>
      <c r="AR8">
        <f>IF((L8+AQ8)+0.5*H8&lt;=Tables!$B$24,0,IF((L8+AQ8)+0.5*H8&lt;=Tables!$B$25,MIN(0.5*H8,0.5*((L8+AQ8)+0.5*H8-Tables!$B$24)),MIN(0.85*H8,0.85*((L8+AQ8)+0.5*H8-Tables!$B$25)+MIN(Tables!$B$26,0.5*H8))))</f>
        <v/>
      </c>
      <c r="AS8">
        <f>R8+SUMPRODUCT(((MAX(0,L8+AQ8+AR8-(Tables!$B$22+IF(B8&gt;=Tables!$B$27,2*Tables!$B$23,0))))&gt;Tables!$A$31:$A$37)*((MAX(0,L8+AQ8+AR8-(Tables!$B$22+IF(B8&gt;=Tables!$B$27,2*Tables!$B$23,0))))-Tables!$A$31:$A$37)*Tables!$C$31:$C$37)-O8</f>
        <v/>
      </c>
      <c r="AT8">
        <f>IF((L8+AS8)+0.5*H8&lt;=Tables!$B$24,0,IF((L8+AS8)+0.5*H8&lt;=Tables!$B$25,MIN(0.5*H8,0.5*((L8+AS8)+0.5*H8-Tables!$B$24)),MIN(0.85*H8,0.85*((L8+AS8)+0.5*H8-Tables!$B$25)+MIN(Tables!$B$26,0.5*H8))))</f>
        <v/>
      </c>
      <c r="AU8">
        <f>R8+SUMPRODUCT(((MAX(0,L8+AS8+AT8-(Tables!$B$22+IF(B8&gt;=Tables!$B$27,2*Tables!$B$23,0))))&gt;Tables!$A$31:$A$37)*((MAX(0,L8+AS8+AT8-(Tables!$B$22+IF(B8&gt;=Tables!$B$27,2*Tables!$B$23,0))))-Tables!$A$31:$A$37)*Tables!$C$31:$C$37)-O8</f>
        <v/>
      </c>
      <c r="AV8">
        <f>IF((L8+AU8)+0.5*H8&lt;=Tables!$B$24,0,IF((L8+AU8)+0.5*H8&lt;=Tables!$B$25,MIN(0.5*H8,0.5*((L8+AU8)+0.5*H8-Tables!$B$24)),MIN(0.85*H8,0.85*((L8+AU8)+0.5*H8-Tables!$B$25)+MIN(Tables!$B$26,0.5*H8))))</f>
        <v/>
      </c>
      <c r="AW8">
        <f>R8+SUMPRODUCT(((MAX(0,L8+AU8+AV8-(Tables!$B$22+IF(B8&gt;=Tables!$B$27,2*Tables!$B$23,0))))&gt;Tables!$A$31:$A$37)*((MAX(0,L8+AU8+AV8-(Tables!$B$22+IF(B8&gt;=Tables!$B$27,2*Tables!$B$23,0))))-Tables!$A$31:$A$37)*Tables!$C$31:$C$37)-O8</f>
        <v/>
      </c>
      <c r="AX8">
        <f>IF((L8+AW8)+0.5*H8&lt;=Tables!$B$24,0,IF((L8+AW8)+0.5*H8&lt;=Tables!$B$25,MIN(0.5*H8,0.5*((L8+AW8)+0.5*H8-Tables!$B$24)),MIN(0.85*H8,0.85*((L8+AW8)+0.5*H8-Tables!$B$25)+MIN(Tables!$B$26,0.5*H8))))</f>
        <v/>
      </c>
      <c r="AY8">
        <f>R8+SUMPRODUCT(((MAX(0,L8+AW8+AX8-(Tables!$B$22+IF(B8&gt;=Tables!$B$27,2*Tables!$B$23,0))))&gt;Tables!$A$31:$A$37)*((MAX(0,L8+AW8+AX8-(Tables!$B$22+IF(B8&gt;=Tables!$B$27,2*Tables!$B$23,0))))-Tables!$A$31:$A$37)*Tables!$C$31:$C$37)-O8</f>
        <v/>
      </c>
      <c r="AZ8">
        <f>IF((L8+AY8)+0.5*H8&lt;=Tables!$B$24,0,IF((L8+AY8)+0.5*H8&lt;=Tables!$B$25,MIN(0.5*H8,0.5*((L8+AY8)+0.5*H8-Tables!$B$24)),MIN(0.85*H8,0.85*((L8+AY8)+0.5*H8-Tables!$B$25)+MIN(Tables!$B$26,0.5*H8))))</f>
        <v/>
      </c>
      <c r="BA8">
        <f>R8+SUMPRODUCT(((MAX(0,L8+AY8+AZ8-(Tables!$B$22+IF(B8&gt;=Tables!$B$27,2*Tables!$B$23,0))))&gt;Tables!$A$31:$A$37)*((MAX(0,L8+AY8+AZ8-(Tables!$B$22+IF(B8&gt;=Tables!$B$27,2*Tables!$B$23,0))))-Tables!$A$31:$A$37)*Tables!$C$31:$C$37)-O8</f>
        <v/>
      </c>
      <c r="BB8">
        <f>IF((L8+BA8)+0.5*H8&lt;=Tables!$B$24,0,IF((L8+BA8)+0.5*H8&lt;=Tables!$B$25,MIN(0.5*H8,0.5*((L8+BA8)+0.5*H8-Tables!$B$24)),MIN(0.85*H8,0.85*((L8+BA8)+0.5*H8-Tables!$B$25)+MIN(Tables!$B$26,0.5*H8))))</f>
        <v/>
      </c>
      <c r="BC8">
        <f>R8+SUMPRODUCT(((MAX(0,L8+BA8+BB8-(Tables!$B$22+IF(B8&gt;=Tables!$B$27,2*Tables!$B$23,0))))&gt;Tables!$A$31:$A$37)*((MAX(0,L8+BA8+BB8-(Tables!$B$22+IF(B8&gt;=Tables!$B$27,2*Tables!$B$23,0))))-Tables!$A$31:$A$37)*Tables!$C$31:$C$37)-O8</f>
        <v/>
      </c>
      <c r="BD8">
        <f>IF((L8+BC8)+0.5*H8&lt;=Tables!$B$24,0,IF((L8+BC8)+0.5*H8&lt;=Tables!$B$25,MIN(0.5*H8,0.5*((L8+BC8)+0.5*H8-Tables!$B$24)),MIN(0.85*H8,0.85*((L8+BC8)+0.5*H8-Tables!$B$25)+MIN(Tables!$B$26,0.5*H8))))</f>
        <v/>
      </c>
      <c r="BE8">
        <f>R8+SUMPRODUCT(((MAX(0,L8+BC8+BD8-(Tables!$B$22+IF(B8&gt;=Tables!$B$27,2*Tables!$B$23,0))))&gt;Tables!$A$31:$A$37)*((MAX(0,L8+BC8+BD8-(Tables!$B$22+IF(B8&gt;=Tables!$B$27,2*Tables!$B$23,0))))-Tables!$A$31:$A$37)*Tables!$C$31:$C$37)-O8</f>
        <v/>
      </c>
      <c r="BF8">
        <f>IF((L8+BE8)+0.5*H8&lt;=Tables!$B$24,0,IF((L8+BE8)+0.5*H8&lt;=Tables!$B$25,MIN(0.5*H8,0.5*((L8+BE8)+0.5*H8-Tables!$B$24)),MIN(0.85*H8,0.85*((L8+BE8)+0.5*H8-Tables!$B$25)+MIN(Tables!$B$26,0.5*H8))))</f>
        <v/>
      </c>
      <c r="BG8">
        <f>R8+SUMPRODUCT(((MAX(0,L8+BE8+BF8-(Tables!$B$22+IF(B8&gt;=Tables!$B$27,2*Tables!$B$23,0))))&gt;Tables!$A$31:$A$37)*((MAX(0,L8+BE8+BF8-(Tables!$B$22+IF(B8&gt;=Tables!$B$27,2*Tables!$B$23,0))))-Tables!$A$31:$A$37)*Tables!$C$31:$C$37)-O8</f>
        <v/>
      </c>
      <c r="BH8">
        <f>IF((L8+BG8)+0.5*H8&lt;=Tables!$B$24,0,IF((L8+BG8)+0.5*H8&lt;=Tables!$B$25,MIN(0.5*H8,0.5*((L8+BG8)+0.5*H8-Tables!$B$24)),MIN(0.85*H8,0.85*((L8+BG8)+0.5*H8-Tables!$B$25)+MIN(Tables!$B$26,0.5*H8))))</f>
        <v/>
      </c>
      <c r="BI8">
        <f>R8+SUMPRODUCT(((MAX(0,L8+BG8+BH8-(Tables!$B$22+IF(B8&gt;=Tables!$B$27,2*Tables!$B$23,0))))&gt;Tables!$A$31:$A$37)*((MAX(0,L8+BG8+BH8-(Tables!$B$22+IF(B8&gt;=Tables!$B$27,2*Tables!$B$23,0))))-Tables!$A$31:$A$37)*Tables!$C$31:$C$37)-O8</f>
        <v/>
      </c>
      <c r="BJ8">
        <f>IF((L8+BI8)+0.5*H8&lt;=Tables!$B$24,0,IF((L8+BI8)+0.5*H8&lt;=Tables!$B$25,MIN(0.5*H8,0.5*((L8+BI8)+0.5*H8-Tables!$B$24)),MIN(0.85*H8,0.85*((L8+BI8)+0.5*H8-Tables!$B$25)+MIN(Tables!$B$26,0.5*H8))))</f>
        <v/>
      </c>
      <c r="BK8">
        <f>R8+SUMPRODUCT(((MAX(0,L8+BI8+BJ8-(Tables!$B$22+IF(B8&gt;=Tables!$B$27,2*Tables!$B$23,0))))&gt;Tables!$A$31:$A$37)*((MAX(0,L8+BI8+BJ8-(Tables!$B$22+IF(B8&gt;=Tables!$B$27,2*Tables!$B$23,0))))-Tables!$A$31:$A$37)*Tables!$C$31:$C$37)-O8</f>
        <v/>
      </c>
      <c r="BL8">
        <f>IF((L8+BK8)+0.5*H8&lt;=Tables!$B$24,0,IF((L8+BK8)+0.5*H8&lt;=Tables!$B$25,MIN(0.5*H8,0.5*((L8+BK8)+0.5*H8-Tables!$B$24)),MIN(0.85*H8,0.85*((L8+BK8)+0.5*H8-Tables!$B$25)+MIN(Tables!$B$26,0.5*H8))))</f>
        <v/>
      </c>
      <c r="BM8">
        <f>R8+SUMPRODUCT(((MAX(0,L8+BK8+BL8-(Tables!$B$22+IF(B8&gt;=Tables!$B$27,2*Tables!$B$23,0))))&gt;Tables!$A$31:$A$37)*((MAX(0,L8+BK8+BL8-(Tables!$B$22+IF(B8&gt;=Tables!$B$27,2*Tables!$B$23,0))))-Tables!$A$31:$A$37)*Tables!$C$31:$C$37)-O8</f>
        <v/>
      </c>
      <c r="BN8">
        <f>IF((L8+BM8)+0.5*H8&lt;=Tables!$B$24,0,IF((L8+BM8)+0.5*H8&lt;=Tables!$B$25,MIN(0.5*H8,0.5*((L8+BM8)+0.5*H8-Tables!$B$24)),MIN(0.85*H8,0.85*((L8+BM8)+0.5*H8-Tables!$B$25)+MIN(Tables!$B$26,0.5*H8))))</f>
        <v/>
      </c>
      <c r="BO8">
        <f>R8+SUMPRODUCT(((MAX(0,L8+BM8+BN8-(Tables!$B$22+IF(B8&gt;=Tables!$B$27,2*Tables!$B$23,0))))&gt;Tables!$A$31:$A$37)*((MAX(0,L8+BM8+BN8-(Tables!$B$22+IF(B8&gt;=Tables!$B$27,2*Tables!$B$23,0))))-Tables!$A$31:$A$37)*Tables!$C$31:$C$37)-O8</f>
        <v/>
      </c>
      <c r="BP8">
        <f>MIN(BO8,S8)</f>
        <v/>
      </c>
      <c r="BQ8">
        <f>L8+BP8</f>
        <v/>
      </c>
      <c r="BR8">
        <f>IF(BQ8+0.5*H8&lt;=Tables!$B$24,0,IF(BQ8+0.5*H8&lt;=Tables!$B$25,MIN(0.5*H8,0.5*(BQ8+0.5*H8-Tables!$B$24)),MIN(0.85*H8,0.85*(BQ8+0.5*H8-Tables!$B$25)+MIN(Tables!$B$26,0.5*H8))))</f>
        <v/>
      </c>
      <c r="BS8">
        <f>MAX(0,BQ8+BR8-(Tables!$B$22+IF(B8&gt;=Tables!$B$27,2*Tables!$B$23,0)))</f>
        <v/>
      </c>
      <c r="BT8">
        <f>SUMPRODUCT(((BS8)&gt;Tables!$A$31:$A$37)*((BS8)-Tables!$A$31:$A$37)*Tables!$C$31:$C$37)</f>
        <v/>
      </c>
      <c r="BU8">
        <f>MAX(0,G8-(H8+BQ8+Q8-BT8))</f>
        <v/>
      </c>
      <c r="BV8">
        <f>MIN(J8,BU8)</f>
        <v/>
      </c>
      <c r="BW8">
        <f>H8+BQ8+Q8+BV8</f>
        <v/>
      </c>
      <c r="BX8">
        <f>MAX(0,BW8-G8-BT8)</f>
        <v/>
      </c>
      <c r="BY8">
        <f>MAX(0,G8+BT8-BW8)</f>
        <v/>
      </c>
      <c r="BZ8">
        <f>IF(C8=0,0,MAX(0,I8-BQ8)*(1+D8))</f>
        <v/>
      </c>
      <c r="CA8">
        <f>IF(C8=0,0,MAX(0,J8-BV8)*(1+D8))</f>
        <v/>
      </c>
      <c r="CB8">
        <f>IF(C8=0,0,MAX(0,K8-Q8+BX8)*(1+D8))</f>
        <v/>
      </c>
      <c r="CC8">
        <f>IF(C8=0,CC7,BZ8+CA8+CB8)</f>
        <v/>
      </c>
      <c r="CD8">
        <f>IF(C8=0,9999,IF(OR(BY8&gt;0.0001,CC8&lt;=0.0001),B8,9999))</f>
        <v/>
      </c>
    </row>
    <row r="9">
      <c r="A9" t="n">
        <v>7</v>
      </c>
      <c r="B9">
        <f>Tables!$B$13+A9</f>
        <v/>
      </c>
      <c r="C9">
        <f>IF(B9&lt;=Tables!$B$18,1,0)</f>
        <v/>
      </c>
      <c r="D9">
        <f>INDEX(Tables!$B$83:$B$123,A9+1)</f>
        <v/>
      </c>
      <c r="E9">
        <f>IF(A9=0,0,INDEX(Tables!$B$83:$B$123,A9))</f>
        <v/>
      </c>
      <c r="F9">
        <f>IF(AND(C9=1,Tables!$B$17="YES",A9&gt;0,E9&lt;Tables!$B$16),Tables!$B$15,0)</f>
        <v/>
      </c>
      <c r="G9">
        <f>IF(C9=0,0,Tables!$B$8-IF(B9&gt;=Tables!$B$7,Tables!$B$6,0)+IF(B9&lt;Tables!$B$27,Tables!$B$9,Tables!$B$10)-F9)</f>
        <v/>
      </c>
      <c r="H9">
        <f>IF(C9=0,0,IF(B9&gt;=Tables!$B$78,Tables!$D$78,0)+IF(B9&gt;=Tables!$C$78,Tables!$E$78,0))</f>
        <v/>
      </c>
      <c r="I9">
        <f>IF(C9=0,0,BZ8)</f>
        <v/>
      </c>
      <c r="J9">
        <f>IF(C9=0,0,CA8)</f>
        <v/>
      </c>
      <c r="K9">
        <f>IF(C9=0,0,CB8)</f>
        <v/>
      </c>
      <c r="L9">
        <f>IF(C9=0,0,IF(B9&gt;=Tables!$B$19,MIN(I9,I9/VLOOKUP(B9,Tables!$A$41:$B$61,2,FALSE)),0))</f>
        <v/>
      </c>
      <c r="M9">
        <f>IF(L9+0.5*H9&lt;=Tables!$B$24,0,IF(L9+0.5*H9&lt;=Tables!$B$25,MIN(0.5*H9,0.5*(L9+0.5*H9-Tables!$B$24)),MIN(0.85*H9,0.85*(L9+0.5*H9-Tables!$B$25)+MIN(Tables!$B$26,0.5*H9))))</f>
        <v/>
      </c>
      <c r="N9">
        <f>MAX(0,L9+M9-(Tables!$B$22+IF(B9&gt;=Tables!$B$27,2*Tables!$B$23,0)))</f>
        <v/>
      </c>
      <c r="O9">
        <f>SUMPRODUCT(((N9)&gt;Tables!$A$31:$A$37)*((N9)-Tables!$A$31:$A$37)*Tables!$C$31:$C$37)</f>
        <v/>
      </c>
      <c r="P9">
        <f>G9-(H9+L9-O9)</f>
        <v/>
      </c>
      <c r="Q9">
        <f>MIN(K9,MAX(0,P9))</f>
        <v/>
      </c>
      <c r="R9">
        <f>MAX(0,P9-Q9)</f>
        <v/>
      </c>
      <c r="S9">
        <f>MAX(0,I9-L9)</f>
        <v/>
      </c>
      <c r="T9">
        <f>IF((L9+R9)+0.5*H9&lt;=Tables!$B$24,0,IF((L9+R9)+0.5*H9&lt;=Tables!$B$25,MIN(0.5*H9,0.5*((L9+R9)+0.5*H9-Tables!$B$24)),MIN(0.85*H9,0.85*((L9+R9)+0.5*H9-Tables!$B$25)+MIN(Tables!$B$26,0.5*H9))))</f>
        <v/>
      </c>
      <c r="U9">
        <f>R9+SUMPRODUCT(((MAX(0,L9+R9+T9-(Tables!$B$22+IF(B9&gt;=Tables!$B$27,2*Tables!$B$23,0))))&gt;Tables!$A$31:$A$37)*((MAX(0,L9+R9+T9-(Tables!$B$22+IF(B9&gt;=Tables!$B$27,2*Tables!$B$23,0))))-Tables!$A$31:$A$37)*Tables!$C$31:$C$37)-O9</f>
        <v/>
      </c>
      <c r="V9">
        <f>IF((L9+U9)+0.5*H9&lt;=Tables!$B$24,0,IF((L9+U9)+0.5*H9&lt;=Tables!$B$25,MIN(0.5*H9,0.5*((L9+U9)+0.5*H9-Tables!$B$24)),MIN(0.85*H9,0.85*((L9+U9)+0.5*H9-Tables!$B$25)+MIN(Tables!$B$26,0.5*H9))))</f>
        <v/>
      </c>
      <c r="W9">
        <f>R9+SUMPRODUCT(((MAX(0,L9+U9+V9-(Tables!$B$22+IF(B9&gt;=Tables!$B$27,2*Tables!$B$23,0))))&gt;Tables!$A$31:$A$37)*((MAX(0,L9+U9+V9-(Tables!$B$22+IF(B9&gt;=Tables!$B$27,2*Tables!$B$23,0))))-Tables!$A$31:$A$37)*Tables!$C$31:$C$37)-O9</f>
        <v/>
      </c>
      <c r="X9">
        <f>IF((L9+W9)+0.5*H9&lt;=Tables!$B$24,0,IF((L9+W9)+0.5*H9&lt;=Tables!$B$25,MIN(0.5*H9,0.5*((L9+W9)+0.5*H9-Tables!$B$24)),MIN(0.85*H9,0.85*((L9+W9)+0.5*H9-Tables!$B$25)+MIN(Tables!$B$26,0.5*H9))))</f>
        <v/>
      </c>
      <c r="Y9">
        <f>R9+SUMPRODUCT(((MAX(0,L9+W9+X9-(Tables!$B$22+IF(B9&gt;=Tables!$B$27,2*Tables!$B$23,0))))&gt;Tables!$A$31:$A$37)*((MAX(0,L9+W9+X9-(Tables!$B$22+IF(B9&gt;=Tables!$B$27,2*Tables!$B$23,0))))-Tables!$A$31:$A$37)*Tables!$C$31:$C$37)-O9</f>
        <v/>
      </c>
      <c r="Z9">
        <f>IF((L9+Y9)+0.5*H9&lt;=Tables!$B$24,0,IF((L9+Y9)+0.5*H9&lt;=Tables!$B$25,MIN(0.5*H9,0.5*((L9+Y9)+0.5*H9-Tables!$B$24)),MIN(0.85*H9,0.85*((L9+Y9)+0.5*H9-Tables!$B$25)+MIN(Tables!$B$26,0.5*H9))))</f>
        <v/>
      </c>
      <c r="AA9">
        <f>R9+SUMPRODUCT(((MAX(0,L9+Y9+Z9-(Tables!$B$22+IF(B9&gt;=Tables!$B$27,2*Tables!$B$23,0))))&gt;Tables!$A$31:$A$37)*((MAX(0,L9+Y9+Z9-(Tables!$B$22+IF(B9&gt;=Tables!$B$27,2*Tables!$B$23,0))))-Tables!$A$31:$A$37)*Tables!$C$31:$C$37)-O9</f>
        <v/>
      </c>
      <c r="AB9">
        <f>IF((L9+AA9)+0.5*H9&lt;=Tables!$B$24,0,IF((L9+AA9)+0.5*H9&lt;=Tables!$B$25,MIN(0.5*H9,0.5*((L9+AA9)+0.5*H9-Tables!$B$24)),MIN(0.85*H9,0.85*((L9+AA9)+0.5*H9-Tables!$B$25)+MIN(Tables!$B$26,0.5*H9))))</f>
        <v/>
      </c>
      <c r="AC9">
        <f>R9+SUMPRODUCT(((MAX(0,L9+AA9+AB9-(Tables!$B$22+IF(B9&gt;=Tables!$B$27,2*Tables!$B$23,0))))&gt;Tables!$A$31:$A$37)*((MAX(0,L9+AA9+AB9-(Tables!$B$22+IF(B9&gt;=Tables!$B$27,2*Tables!$B$23,0))))-Tables!$A$31:$A$37)*Tables!$C$31:$C$37)-O9</f>
        <v/>
      </c>
      <c r="AD9">
        <f>IF((L9+AC9)+0.5*H9&lt;=Tables!$B$24,0,IF((L9+AC9)+0.5*H9&lt;=Tables!$B$25,MIN(0.5*H9,0.5*((L9+AC9)+0.5*H9-Tables!$B$24)),MIN(0.85*H9,0.85*((L9+AC9)+0.5*H9-Tables!$B$25)+MIN(Tables!$B$26,0.5*H9))))</f>
        <v/>
      </c>
      <c r="AE9">
        <f>R9+SUMPRODUCT(((MAX(0,L9+AC9+AD9-(Tables!$B$22+IF(B9&gt;=Tables!$B$27,2*Tables!$B$23,0))))&gt;Tables!$A$31:$A$37)*((MAX(0,L9+AC9+AD9-(Tables!$B$22+IF(B9&gt;=Tables!$B$27,2*Tables!$B$23,0))))-Tables!$A$31:$A$37)*Tables!$C$31:$C$37)-O9</f>
        <v/>
      </c>
      <c r="AF9">
        <f>IF((L9+AE9)+0.5*H9&lt;=Tables!$B$24,0,IF((L9+AE9)+0.5*H9&lt;=Tables!$B$25,MIN(0.5*H9,0.5*((L9+AE9)+0.5*H9-Tables!$B$24)),MIN(0.85*H9,0.85*((L9+AE9)+0.5*H9-Tables!$B$25)+MIN(Tables!$B$26,0.5*H9))))</f>
        <v/>
      </c>
      <c r="AG9">
        <f>R9+SUMPRODUCT(((MAX(0,L9+AE9+AF9-(Tables!$B$22+IF(B9&gt;=Tables!$B$27,2*Tables!$B$23,0))))&gt;Tables!$A$31:$A$37)*((MAX(0,L9+AE9+AF9-(Tables!$B$22+IF(B9&gt;=Tables!$B$27,2*Tables!$B$23,0))))-Tables!$A$31:$A$37)*Tables!$C$31:$C$37)-O9</f>
        <v/>
      </c>
      <c r="AH9">
        <f>IF((L9+AG9)+0.5*H9&lt;=Tables!$B$24,0,IF((L9+AG9)+0.5*H9&lt;=Tables!$B$25,MIN(0.5*H9,0.5*((L9+AG9)+0.5*H9-Tables!$B$24)),MIN(0.85*H9,0.85*((L9+AG9)+0.5*H9-Tables!$B$25)+MIN(Tables!$B$26,0.5*H9))))</f>
        <v/>
      </c>
      <c r="AI9">
        <f>R9+SUMPRODUCT(((MAX(0,L9+AG9+AH9-(Tables!$B$22+IF(B9&gt;=Tables!$B$27,2*Tables!$B$23,0))))&gt;Tables!$A$31:$A$37)*((MAX(0,L9+AG9+AH9-(Tables!$B$22+IF(B9&gt;=Tables!$B$27,2*Tables!$B$23,0))))-Tables!$A$31:$A$37)*Tables!$C$31:$C$37)-O9</f>
        <v/>
      </c>
      <c r="AJ9">
        <f>IF((L9+AI9)+0.5*H9&lt;=Tables!$B$24,0,IF((L9+AI9)+0.5*H9&lt;=Tables!$B$25,MIN(0.5*H9,0.5*((L9+AI9)+0.5*H9-Tables!$B$24)),MIN(0.85*H9,0.85*((L9+AI9)+0.5*H9-Tables!$B$25)+MIN(Tables!$B$26,0.5*H9))))</f>
        <v/>
      </c>
      <c r="AK9">
        <f>R9+SUMPRODUCT(((MAX(0,L9+AI9+AJ9-(Tables!$B$22+IF(B9&gt;=Tables!$B$27,2*Tables!$B$23,0))))&gt;Tables!$A$31:$A$37)*((MAX(0,L9+AI9+AJ9-(Tables!$B$22+IF(B9&gt;=Tables!$B$27,2*Tables!$B$23,0))))-Tables!$A$31:$A$37)*Tables!$C$31:$C$37)-O9</f>
        <v/>
      </c>
      <c r="AL9">
        <f>IF((L9+AK9)+0.5*H9&lt;=Tables!$B$24,0,IF((L9+AK9)+0.5*H9&lt;=Tables!$B$25,MIN(0.5*H9,0.5*((L9+AK9)+0.5*H9-Tables!$B$24)),MIN(0.85*H9,0.85*((L9+AK9)+0.5*H9-Tables!$B$25)+MIN(Tables!$B$26,0.5*H9))))</f>
        <v/>
      </c>
      <c r="AM9">
        <f>R9+SUMPRODUCT(((MAX(0,L9+AK9+AL9-(Tables!$B$22+IF(B9&gt;=Tables!$B$27,2*Tables!$B$23,0))))&gt;Tables!$A$31:$A$37)*((MAX(0,L9+AK9+AL9-(Tables!$B$22+IF(B9&gt;=Tables!$B$27,2*Tables!$B$23,0))))-Tables!$A$31:$A$37)*Tables!$C$31:$C$37)-O9</f>
        <v/>
      </c>
      <c r="AN9">
        <f>IF((L9+AM9)+0.5*H9&lt;=Tables!$B$24,0,IF((L9+AM9)+0.5*H9&lt;=Tables!$B$25,MIN(0.5*H9,0.5*((L9+AM9)+0.5*H9-Tables!$B$24)),MIN(0.85*H9,0.85*((L9+AM9)+0.5*H9-Tables!$B$25)+MIN(Tables!$B$26,0.5*H9))))</f>
        <v/>
      </c>
      <c r="AO9">
        <f>R9+SUMPRODUCT(((MAX(0,L9+AM9+AN9-(Tables!$B$22+IF(B9&gt;=Tables!$B$27,2*Tables!$B$23,0))))&gt;Tables!$A$31:$A$37)*((MAX(0,L9+AM9+AN9-(Tables!$B$22+IF(B9&gt;=Tables!$B$27,2*Tables!$B$23,0))))-Tables!$A$31:$A$37)*Tables!$C$31:$C$37)-O9</f>
        <v/>
      </c>
      <c r="AP9">
        <f>IF((L9+AO9)+0.5*H9&lt;=Tables!$B$24,0,IF((L9+AO9)+0.5*H9&lt;=Tables!$B$25,MIN(0.5*H9,0.5*((L9+AO9)+0.5*H9-Tables!$B$24)),MIN(0.85*H9,0.85*((L9+AO9)+0.5*H9-Tables!$B$25)+MIN(Tables!$B$26,0.5*H9))))</f>
        <v/>
      </c>
      <c r="AQ9">
        <f>R9+SUMPRODUCT(((MAX(0,L9+AO9+AP9-(Tables!$B$22+IF(B9&gt;=Tables!$B$27,2*Tables!$B$23,0))))&gt;Tables!$A$31:$A$37)*((MAX(0,L9+AO9+AP9-(Tables!$B$22+IF(B9&gt;=Tables!$B$27,2*Tables!$B$23,0))))-Tables!$A$31:$A$37)*Tables!$C$31:$C$37)-O9</f>
        <v/>
      </c>
      <c r="AR9">
        <f>IF((L9+AQ9)+0.5*H9&lt;=Tables!$B$24,0,IF((L9+AQ9)+0.5*H9&lt;=Tables!$B$25,MIN(0.5*H9,0.5*((L9+AQ9)+0.5*H9-Tables!$B$24)),MIN(0.85*H9,0.85*((L9+AQ9)+0.5*H9-Tables!$B$25)+MIN(Tables!$B$26,0.5*H9))))</f>
        <v/>
      </c>
      <c r="AS9">
        <f>R9+SUMPRODUCT(((MAX(0,L9+AQ9+AR9-(Tables!$B$22+IF(B9&gt;=Tables!$B$27,2*Tables!$B$23,0))))&gt;Tables!$A$31:$A$37)*((MAX(0,L9+AQ9+AR9-(Tables!$B$22+IF(B9&gt;=Tables!$B$27,2*Tables!$B$23,0))))-Tables!$A$31:$A$37)*Tables!$C$31:$C$37)-O9</f>
        <v/>
      </c>
      <c r="AT9">
        <f>IF((L9+AS9)+0.5*H9&lt;=Tables!$B$24,0,IF((L9+AS9)+0.5*H9&lt;=Tables!$B$25,MIN(0.5*H9,0.5*((L9+AS9)+0.5*H9-Tables!$B$24)),MIN(0.85*H9,0.85*((L9+AS9)+0.5*H9-Tables!$B$25)+MIN(Tables!$B$26,0.5*H9))))</f>
        <v/>
      </c>
      <c r="AU9">
        <f>R9+SUMPRODUCT(((MAX(0,L9+AS9+AT9-(Tables!$B$22+IF(B9&gt;=Tables!$B$27,2*Tables!$B$23,0))))&gt;Tables!$A$31:$A$37)*((MAX(0,L9+AS9+AT9-(Tables!$B$22+IF(B9&gt;=Tables!$B$27,2*Tables!$B$23,0))))-Tables!$A$31:$A$37)*Tables!$C$31:$C$37)-O9</f>
        <v/>
      </c>
      <c r="AV9">
        <f>IF((L9+AU9)+0.5*H9&lt;=Tables!$B$24,0,IF((L9+AU9)+0.5*H9&lt;=Tables!$B$25,MIN(0.5*H9,0.5*((L9+AU9)+0.5*H9-Tables!$B$24)),MIN(0.85*H9,0.85*((L9+AU9)+0.5*H9-Tables!$B$25)+MIN(Tables!$B$26,0.5*H9))))</f>
        <v/>
      </c>
      <c r="AW9">
        <f>R9+SUMPRODUCT(((MAX(0,L9+AU9+AV9-(Tables!$B$22+IF(B9&gt;=Tables!$B$27,2*Tables!$B$23,0))))&gt;Tables!$A$31:$A$37)*((MAX(0,L9+AU9+AV9-(Tables!$B$22+IF(B9&gt;=Tables!$B$27,2*Tables!$B$23,0))))-Tables!$A$31:$A$37)*Tables!$C$31:$C$37)-O9</f>
        <v/>
      </c>
      <c r="AX9">
        <f>IF((L9+AW9)+0.5*H9&lt;=Tables!$B$24,0,IF((L9+AW9)+0.5*H9&lt;=Tables!$B$25,MIN(0.5*H9,0.5*((L9+AW9)+0.5*H9-Tables!$B$24)),MIN(0.85*H9,0.85*((L9+AW9)+0.5*H9-Tables!$B$25)+MIN(Tables!$B$26,0.5*H9))))</f>
        <v/>
      </c>
      <c r="AY9">
        <f>R9+SUMPRODUCT(((MAX(0,L9+AW9+AX9-(Tables!$B$22+IF(B9&gt;=Tables!$B$27,2*Tables!$B$23,0))))&gt;Tables!$A$31:$A$37)*((MAX(0,L9+AW9+AX9-(Tables!$B$22+IF(B9&gt;=Tables!$B$27,2*Tables!$B$23,0))))-Tables!$A$31:$A$37)*Tables!$C$31:$C$37)-O9</f>
        <v/>
      </c>
      <c r="AZ9">
        <f>IF((L9+AY9)+0.5*H9&lt;=Tables!$B$24,0,IF((L9+AY9)+0.5*H9&lt;=Tables!$B$25,MIN(0.5*H9,0.5*((L9+AY9)+0.5*H9-Tables!$B$24)),MIN(0.85*H9,0.85*((L9+AY9)+0.5*H9-Tables!$B$25)+MIN(Tables!$B$26,0.5*H9))))</f>
        <v/>
      </c>
      <c r="BA9">
        <f>R9+SUMPRODUCT(((MAX(0,L9+AY9+AZ9-(Tables!$B$22+IF(B9&gt;=Tables!$B$27,2*Tables!$B$23,0))))&gt;Tables!$A$31:$A$37)*((MAX(0,L9+AY9+AZ9-(Tables!$B$22+IF(B9&gt;=Tables!$B$27,2*Tables!$B$23,0))))-Tables!$A$31:$A$37)*Tables!$C$31:$C$37)-O9</f>
        <v/>
      </c>
      <c r="BB9">
        <f>IF((L9+BA9)+0.5*H9&lt;=Tables!$B$24,0,IF((L9+BA9)+0.5*H9&lt;=Tables!$B$25,MIN(0.5*H9,0.5*((L9+BA9)+0.5*H9-Tables!$B$24)),MIN(0.85*H9,0.85*((L9+BA9)+0.5*H9-Tables!$B$25)+MIN(Tables!$B$26,0.5*H9))))</f>
        <v/>
      </c>
      <c r="BC9">
        <f>R9+SUMPRODUCT(((MAX(0,L9+BA9+BB9-(Tables!$B$22+IF(B9&gt;=Tables!$B$27,2*Tables!$B$23,0))))&gt;Tables!$A$31:$A$37)*((MAX(0,L9+BA9+BB9-(Tables!$B$22+IF(B9&gt;=Tables!$B$27,2*Tables!$B$23,0))))-Tables!$A$31:$A$37)*Tables!$C$31:$C$37)-O9</f>
        <v/>
      </c>
      <c r="BD9">
        <f>IF((L9+BC9)+0.5*H9&lt;=Tables!$B$24,0,IF((L9+BC9)+0.5*H9&lt;=Tables!$B$25,MIN(0.5*H9,0.5*((L9+BC9)+0.5*H9-Tables!$B$24)),MIN(0.85*H9,0.85*((L9+BC9)+0.5*H9-Tables!$B$25)+MIN(Tables!$B$26,0.5*H9))))</f>
        <v/>
      </c>
      <c r="BE9">
        <f>R9+SUMPRODUCT(((MAX(0,L9+BC9+BD9-(Tables!$B$22+IF(B9&gt;=Tables!$B$27,2*Tables!$B$23,0))))&gt;Tables!$A$31:$A$37)*((MAX(0,L9+BC9+BD9-(Tables!$B$22+IF(B9&gt;=Tables!$B$27,2*Tables!$B$23,0))))-Tables!$A$31:$A$37)*Tables!$C$31:$C$37)-O9</f>
        <v/>
      </c>
      <c r="BF9">
        <f>IF((L9+BE9)+0.5*H9&lt;=Tables!$B$24,0,IF((L9+BE9)+0.5*H9&lt;=Tables!$B$25,MIN(0.5*H9,0.5*((L9+BE9)+0.5*H9-Tables!$B$24)),MIN(0.85*H9,0.85*((L9+BE9)+0.5*H9-Tables!$B$25)+MIN(Tables!$B$26,0.5*H9))))</f>
        <v/>
      </c>
      <c r="BG9">
        <f>R9+SUMPRODUCT(((MAX(0,L9+BE9+BF9-(Tables!$B$22+IF(B9&gt;=Tables!$B$27,2*Tables!$B$23,0))))&gt;Tables!$A$31:$A$37)*((MAX(0,L9+BE9+BF9-(Tables!$B$22+IF(B9&gt;=Tables!$B$27,2*Tables!$B$23,0))))-Tables!$A$31:$A$37)*Tables!$C$31:$C$37)-O9</f>
        <v/>
      </c>
      <c r="BH9">
        <f>IF((L9+BG9)+0.5*H9&lt;=Tables!$B$24,0,IF((L9+BG9)+0.5*H9&lt;=Tables!$B$25,MIN(0.5*H9,0.5*((L9+BG9)+0.5*H9-Tables!$B$24)),MIN(0.85*H9,0.85*((L9+BG9)+0.5*H9-Tables!$B$25)+MIN(Tables!$B$26,0.5*H9))))</f>
        <v/>
      </c>
      <c r="BI9">
        <f>R9+SUMPRODUCT(((MAX(0,L9+BG9+BH9-(Tables!$B$22+IF(B9&gt;=Tables!$B$27,2*Tables!$B$23,0))))&gt;Tables!$A$31:$A$37)*((MAX(0,L9+BG9+BH9-(Tables!$B$22+IF(B9&gt;=Tables!$B$27,2*Tables!$B$23,0))))-Tables!$A$31:$A$37)*Tables!$C$31:$C$37)-O9</f>
        <v/>
      </c>
      <c r="BJ9">
        <f>IF((L9+BI9)+0.5*H9&lt;=Tables!$B$24,0,IF((L9+BI9)+0.5*H9&lt;=Tables!$B$25,MIN(0.5*H9,0.5*((L9+BI9)+0.5*H9-Tables!$B$24)),MIN(0.85*H9,0.85*((L9+BI9)+0.5*H9-Tables!$B$25)+MIN(Tables!$B$26,0.5*H9))))</f>
        <v/>
      </c>
      <c r="BK9">
        <f>R9+SUMPRODUCT(((MAX(0,L9+BI9+BJ9-(Tables!$B$22+IF(B9&gt;=Tables!$B$27,2*Tables!$B$23,0))))&gt;Tables!$A$31:$A$37)*((MAX(0,L9+BI9+BJ9-(Tables!$B$22+IF(B9&gt;=Tables!$B$27,2*Tables!$B$23,0))))-Tables!$A$31:$A$37)*Tables!$C$31:$C$37)-O9</f>
        <v/>
      </c>
      <c r="BL9">
        <f>IF((L9+BK9)+0.5*H9&lt;=Tables!$B$24,0,IF((L9+BK9)+0.5*H9&lt;=Tables!$B$25,MIN(0.5*H9,0.5*((L9+BK9)+0.5*H9-Tables!$B$24)),MIN(0.85*H9,0.85*((L9+BK9)+0.5*H9-Tables!$B$25)+MIN(Tables!$B$26,0.5*H9))))</f>
        <v/>
      </c>
      <c r="BM9">
        <f>R9+SUMPRODUCT(((MAX(0,L9+BK9+BL9-(Tables!$B$22+IF(B9&gt;=Tables!$B$27,2*Tables!$B$23,0))))&gt;Tables!$A$31:$A$37)*((MAX(0,L9+BK9+BL9-(Tables!$B$22+IF(B9&gt;=Tables!$B$27,2*Tables!$B$23,0))))-Tables!$A$31:$A$37)*Tables!$C$31:$C$37)-O9</f>
        <v/>
      </c>
      <c r="BN9">
        <f>IF((L9+BM9)+0.5*H9&lt;=Tables!$B$24,0,IF((L9+BM9)+0.5*H9&lt;=Tables!$B$25,MIN(0.5*H9,0.5*((L9+BM9)+0.5*H9-Tables!$B$24)),MIN(0.85*H9,0.85*((L9+BM9)+0.5*H9-Tables!$B$25)+MIN(Tables!$B$26,0.5*H9))))</f>
        <v/>
      </c>
      <c r="BO9">
        <f>R9+SUMPRODUCT(((MAX(0,L9+BM9+BN9-(Tables!$B$22+IF(B9&gt;=Tables!$B$27,2*Tables!$B$23,0))))&gt;Tables!$A$31:$A$37)*((MAX(0,L9+BM9+BN9-(Tables!$B$22+IF(B9&gt;=Tables!$B$27,2*Tables!$B$23,0))))-Tables!$A$31:$A$37)*Tables!$C$31:$C$37)-O9</f>
        <v/>
      </c>
      <c r="BP9">
        <f>MIN(BO9,S9)</f>
        <v/>
      </c>
      <c r="BQ9">
        <f>L9+BP9</f>
        <v/>
      </c>
      <c r="BR9">
        <f>IF(BQ9+0.5*H9&lt;=Tables!$B$24,0,IF(BQ9+0.5*H9&lt;=Tables!$B$25,MIN(0.5*H9,0.5*(BQ9+0.5*H9-Tables!$B$24)),MIN(0.85*H9,0.85*(BQ9+0.5*H9-Tables!$B$25)+MIN(Tables!$B$26,0.5*H9))))</f>
        <v/>
      </c>
      <c r="BS9">
        <f>MAX(0,BQ9+BR9-(Tables!$B$22+IF(B9&gt;=Tables!$B$27,2*Tables!$B$23,0)))</f>
        <v/>
      </c>
      <c r="BT9">
        <f>SUMPRODUCT(((BS9)&gt;Tables!$A$31:$A$37)*((BS9)-Tables!$A$31:$A$37)*Tables!$C$31:$C$37)</f>
        <v/>
      </c>
      <c r="BU9">
        <f>MAX(0,G9-(H9+BQ9+Q9-BT9))</f>
        <v/>
      </c>
      <c r="BV9">
        <f>MIN(J9,BU9)</f>
        <v/>
      </c>
      <c r="BW9">
        <f>H9+BQ9+Q9+BV9</f>
        <v/>
      </c>
      <c r="BX9">
        <f>MAX(0,BW9-G9-BT9)</f>
        <v/>
      </c>
      <c r="BY9">
        <f>MAX(0,G9+BT9-BW9)</f>
        <v/>
      </c>
      <c r="BZ9">
        <f>IF(C9=0,0,MAX(0,I9-BQ9)*(1+D9))</f>
        <v/>
      </c>
      <c r="CA9">
        <f>IF(C9=0,0,MAX(0,J9-BV9)*(1+D9))</f>
        <v/>
      </c>
      <c r="CB9">
        <f>IF(C9=0,0,MAX(0,K9-Q9+BX9)*(1+D9))</f>
        <v/>
      </c>
      <c r="CC9">
        <f>IF(C9=0,CC8,BZ9+CA9+CB9)</f>
        <v/>
      </c>
      <c r="CD9">
        <f>IF(C9=0,9999,IF(OR(BY9&gt;0.0001,CC9&lt;=0.0001),B9,9999))</f>
        <v/>
      </c>
    </row>
    <row r="10">
      <c r="A10" t="n">
        <v>8</v>
      </c>
      <c r="B10">
        <f>Tables!$B$13+A10</f>
        <v/>
      </c>
      <c r="C10">
        <f>IF(B10&lt;=Tables!$B$18,1,0)</f>
        <v/>
      </c>
      <c r="D10">
        <f>INDEX(Tables!$B$83:$B$123,A10+1)</f>
        <v/>
      </c>
      <c r="E10">
        <f>IF(A10=0,0,INDEX(Tables!$B$83:$B$123,A10))</f>
        <v/>
      </c>
      <c r="F10">
        <f>IF(AND(C10=1,Tables!$B$17="YES",A10&gt;0,E10&lt;Tables!$B$16),Tables!$B$15,0)</f>
        <v/>
      </c>
      <c r="G10">
        <f>IF(C10=0,0,Tables!$B$8-IF(B10&gt;=Tables!$B$7,Tables!$B$6,0)+IF(B10&lt;Tables!$B$27,Tables!$B$9,Tables!$B$10)-F10)</f>
        <v/>
      </c>
      <c r="H10">
        <f>IF(C10=0,0,IF(B10&gt;=Tables!$B$78,Tables!$D$78,0)+IF(B10&gt;=Tables!$C$78,Tables!$E$78,0))</f>
        <v/>
      </c>
      <c r="I10">
        <f>IF(C10=0,0,BZ9)</f>
        <v/>
      </c>
      <c r="J10">
        <f>IF(C10=0,0,CA9)</f>
        <v/>
      </c>
      <c r="K10">
        <f>IF(C10=0,0,CB9)</f>
        <v/>
      </c>
      <c r="L10">
        <f>IF(C10=0,0,IF(B10&gt;=Tables!$B$19,MIN(I10,I10/VLOOKUP(B10,Tables!$A$41:$B$61,2,FALSE)),0))</f>
        <v/>
      </c>
      <c r="M10">
        <f>IF(L10+0.5*H10&lt;=Tables!$B$24,0,IF(L10+0.5*H10&lt;=Tables!$B$25,MIN(0.5*H10,0.5*(L10+0.5*H10-Tables!$B$24)),MIN(0.85*H10,0.85*(L10+0.5*H10-Tables!$B$25)+MIN(Tables!$B$26,0.5*H10))))</f>
        <v/>
      </c>
      <c r="N10">
        <f>MAX(0,L10+M10-(Tables!$B$22+IF(B10&gt;=Tables!$B$27,2*Tables!$B$23,0)))</f>
        <v/>
      </c>
      <c r="O10">
        <f>SUMPRODUCT(((N10)&gt;Tables!$A$31:$A$37)*((N10)-Tables!$A$31:$A$37)*Tables!$C$31:$C$37)</f>
        <v/>
      </c>
      <c r="P10">
        <f>G10-(H10+L10-O10)</f>
        <v/>
      </c>
      <c r="Q10">
        <f>MIN(K10,MAX(0,P10))</f>
        <v/>
      </c>
      <c r="R10">
        <f>MAX(0,P10-Q10)</f>
        <v/>
      </c>
      <c r="S10">
        <f>MAX(0,I10-L10)</f>
        <v/>
      </c>
      <c r="T10">
        <f>IF((L10+R10)+0.5*H10&lt;=Tables!$B$24,0,IF((L10+R10)+0.5*H10&lt;=Tables!$B$25,MIN(0.5*H10,0.5*((L10+R10)+0.5*H10-Tables!$B$24)),MIN(0.85*H10,0.85*((L10+R10)+0.5*H10-Tables!$B$25)+MIN(Tables!$B$26,0.5*H10))))</f>
        <v/>
      </c>
      <c r="U10">
        <f>R10+SUMPRODUCT(((MAX(0,L10+R10+T10-(Tables!$B$22+IF(B10&gt;=Tables!$B$27,2*Tables!$B$23,0))))&gt;Tables!$A$31:$A$37)*((MAX(0,L10+R10+T10-(Tables!$B$22+IF(B10&gt;=Tables!$B$27,2*Tables!$B$23,0))))-Tables!$A$31:$A$37)*Tables!$C$31:$C$37)-O10</f>
        <v/>
      </c>
      <c r="V10">
        <f>IF((L10+U10)+0.5*H10&lt;=Tables!$B$24,0,IF((L10+U10)+0.5*H10&lt;=Tables!$B$25,MIN(0.5*H10,0.5*((L10+U10)+0.5*H10-Tables!$B$24)),MIN(0.85*H10,0.85*((L10+U10)+0.5*H10-Tables!$B$25)+MIN(Tables!$B$26,0.5*H10))))</f>
        <v/>
      </c>
      <c r="W10">
        <f>R10+SUMPRODUCT(((MAX(0,L10+U10+V10-(Tables!$B$22+IF(B10&gt;=Tables!$B$27,2*Tables!$B$23,0))))&gt;Tables!$A$31:$A$37)*((MAX(0,L10+U10+V10-(Tables!$B$22+IF(B10&gt;=Tables!$B$27,2*Tables!$B$23,0))))-Tables!$A$31:$A$37)*Tables!$C$31:$C$37)-O10</f>
        <v/>
      </c>
      <c r="X10">
        <f>IF((L10+W10)+0.5*H10&lt;=Tables!$B$24,0,IF((L10+W10)+0.5*H10&lt;=Tables!$B$25,MIN(0.5*H10,0.5*((L10+W10)+0.5*H10-Tables!$B$24)),MIN(0.85*H10,0.85*((L10+W10)+0.5*H10-Tables!$B$25)+MIN(Tables!$B$26,0.5*H10))))</f>
        <v/>
      </c>
      <c r="Y10">
        <f>R10+SUMPRODUCT(((MAX(0,L10+W10+X10-(Tables!$B$22+IF(B10&gt;=Tables!$B$27,2*Tables!$B$23,0))))&gt;Tables!$A$31:$A$37)*((MAX(0,L10+W10+X10-(Tables!$B$22+IF(B10&gt;=Tables!$B$27,2*Tables!$B$23,0))))-Tables!$A$31:$A$37)*Tables!$C$31:$C$37)-O10</f>
        <v/>
      </c>
      <c r="Z10">
        <f>IF((L10+Y10)+0.5*H10&lt;=Tables!$B$24,0,IF((L10+Y10)+0.5*H10&lt;=Tables!$B$25,MIN(0.5*H10,0.5*((L10+Y10)+0.5*H10-Tables!$B$24)),MIN(0.85*H10,0.85*((L10+Y10)+0.5*H10-Tables!$B$25)+MIN(Tables!$B$26,0.5*H10))))</f>
        <v/>
      </c>
      <c r="AA10">
        <f>R10+SUMPRODUCT(((MAX(0,L10+Y10+Z10-(Tables!$B$22+IF(B10&gt;=Tables!$B$27,2*Tables!$B$23,0))))&gt;Tables!$A$31:$A$37)*((MAX(0,L10+Y10+Z10-(Tables!$B$22+IF(B10&gt;=Tables!$B$27,2*Tables!$B$23,0))))-Tables!$A$31:$A$37)*Tables!$C$31:$C$37)-O10</f>
        <v/>
      </c>
      <c r="AB10">
        <f>IF((L10+AA10)+0.5*H10&lt;=Tables!$B$24,0,IF((L10+AA10)+0.5*H10&lt;=Tables!$B$25,MIN(0.5*H10,0.5*((L10+AA10)+0.5*H10-Tables!$B$24)),MIN(0.85*H10,0.85*((L10+AA10)+0.5*H10-Tables!$B$25)+MIN(Tables!$B$26,0.5*H10))))</f>
        <v/>
      </c>
      <c r="AC10">
        <f>R10+SUMPRODUCT(((MAX(0,L10+AA10+AB10-(Tables!$B$22+IF(B10&gt;=Tables!$B$27,2*Tables!$B$23,0))))&gt;Tables!$A$31:$A$37)*((MAX(0,L10+AA10+AB10-(Tables!$B$22+IF(B10&gt;=Tables!$B$27,2*Tables!$B$23,0))))-Tables!$A$31:$A$37)*Tables!$C$31:$C$37)-O10</f>
        <v/>
      </c>
      <c r="AD10">
        <f>IF((L10+AC10)+0.5*H10&lt;=Tables!$B$24,0,IF((L10+AC10)+0.5*H10&lt;=Tables!$B$25,MIN(0.5*H10,0.5*((L10+AC10)+0.5*H10-Tables!$B$24)),MIN(0.85*H10,0.85*((L10+AC10)+0.5*H10-Tables!$B$25)+MIN(Tables!$B$26,0.5*H10))))</f>
        <v/>
      </c>
      <c r="AE10">
        <f>R10+SUMPRODUCT(((MAX(0,L10+AC10+AD10-(Tables!$B$22+IF(B10&gt;=Tables!$B$27,2*Tables!$B$23,0))))&gt;Tables!$A$31:$A$37)*((MAX(0,L10+AC10+AD10-(Tables!$B$22+IF(B10&gt;=Tables!$B$27,2*Tables!$B$23,0))))-Tables!$A$31:$A$37)*Tables!$C$31:$C$37)-O10</f>
        <v/>
      </c>
      <c r="AF10">
        <f>IF((L10+AE10)+0.5*H10&lt;=Tables!$B$24,0,IF((L10+AE10)+0.5*H10&lt;=Tables!$B$25,MIN(0.5*H10,0.5*((L10+AE10)+0.5*H10-Tables!$B$24)),MIN(0.85*H10,0.85*((L10+AE10)+0.5*H10-Tables!$B$25)+MIN(Tables!$B$26,0.5*H10))))</f>
        <v/>
      </c>
      <c r="AG10">
        <f>R10+SUMPRODUCT(((MAX(0,L10+AE10+AF10-(Tables!$B$22+IF(B10&gt;=Tables!$B$27,2*Tables!$B$23,0))))&gt;Tables!$A$31:$A$37)*((MAX(0,L10+AE10+AF10-(Tables!$B$22+IF(B10&gt;=Tables!$B$27,2*Tables!$B$23,0))))-Tables!$A$31:$A$37)*Tables!$C$31:$C$37)-O10</f>
        <v/>
      </c>
      <c r="AH10">
        <f>IF((L10+AG10)+0.5*H10&lt;=Tables!$B$24,0,IF((L10+AG10)+0.5*H10&lt;=Tables!$B$25,MIN(0.5*H10,0.5*((L10+AG10)+0.5*H10-Tables!$B$24)),MIN(0.85*H10,0.85*((L10+AG10)+0.5*H10-Tables!$B$25)+MIN(Tables!$B$26,0.5*H10))))</f>
        <v/>
      </c>
      <c r="AI10">
        <f>R10+SUMPRODUCT(((MAX(0,L10+AG10+AH10-(Tables!$B$22+IF(B10&gt;=Tables!$B$27,2*Tables!$B$23,0))))&gt;Tables!$A$31:$A$37)*((MAX(0,L10+AG10+AH10-(Tables!$B$22+IF(B10&gt;=Tables!$B$27,2*Tables!$B$23,0))))-Tables!$A$31:$A$37)*Tables!$C$31:$C$37)-O10</f>
        <v/>
      </c>
      <c r="AJ10">
        <f>IF((L10+AI10)+0.5*H10&lt;=Tables!$B$24,0,IF((L10+AI10)+0.5*H10&lt;=Tables!$B$25,MIN(0.5*H10,0.5*((L10+AI10)+0.5*H10-Tables!$B$24)),MIN(0.85*H10,0.85*((L10+AI10)+0.5*H10-Tables!$B$25)+MIN(Tables!$B$26,0.5*H10))))</f>
        <v/>
      </c>
      <c r="AK10">
        <f>R10+SUMPRODUCT(((MAX(0,L10+AI10+AJ10-(Tables!$B$22+IF(B10&gt;=Tables!$B$27,2*Tables!$B$23,0))))&gt;Tables!$A$31:$A$37)*((MAX(0,L10+AI10+AJ10-(Tables!$B$22+IF(B10&gt;=Tables!$B$27,2*Tables!$B$23,0))))-Tables!$A$31:$A$37)*Tables!$C$31:$C$37)-O10</f>
        <v/>
      </c>
      <c r="AL10">
        <f>IF((L10+AK10)+0.5*H10&lt;=Tables!$B$24,0,IF((L10+AK10)+0.5*H10&lt;=Tables!$B$25,MIN(0.5*H10,0.5*((L10+AK10)+0.5*H10-Tables!$B$24)),MIN(0.85*H10,0.85*((L10+AK10)+0.5*H10-Tables!$B$25)+MIN(Tables!$B$26,0.5*H10))))</f>
        <v/>
      </c>
      <c r="AM10">
        <f>R10+SUMPRODUCT(((MAX(0,L10+AK10+AL10-(Tables!$B$22+IF(B10&gt;=Tables!$B$27,2*Tables!$B$23,0))))&gt;Tables!$A$31:$A$37)*((MAX(0,L10+AK10+AL10-(Tables!$B$22+IF(B10&gt;=Tables!$B$27,2*Tables!$B$23,0))))-Tables!$A$31:$A$37)*Tables!$C$31:$C$37)-O10</f>
        <v/>
      </c>
      <c r="AN10">
        <f>IF((L10+AM10)+0.5*H10&lt;=Tables!$B$24,0,IF((L10+AM10)+0.5*H10&lt;=Tables!$B$25,MIN(0.5*H10,0.5*((L10+AM10)+0.5*H10-Tables!$B$24)),MIN(0.85*H10,0.85*((L10+AM10)+0.5*H10-Tables!$B$25)+MIN(Tables!$B$26,0.5*H10))))</f>
        <v/>
      </c>
      <c r="AO10">
        <f>R10+SUMPRODUCT(((MAX(0,L10+AM10+AN10-(Tables!$B$22+IF(B10&gt;=Tables!$B$27,2*Tables!$B$23,0))))&gt;Tables!$A$31:$A$37)*((MAX(0,L10+AM10+AN10-(Tables!$B$22+IF(B10&gt;=Tables!$B$27,2*Tables!$B$23,0))))-Tables!$A$31:$A$37)*Tables!$C$31:$C$37)-O10</f>
        <v/>
      </c>
      <c r="AP10">
        <f>IF((L10+AO10)+0.5*H10&lt;=Tables!$B$24,0,IF((L10+AO10)+0.5*H10&lt;=Tables!$B$25,MIN(0.5*H10,0.5*((L10+AO10)+0.5*H10-Tables!$B$24)),MIN(0.85*H10,0.85*((L10+AO10)+0.5*H10-Tables!$B$25)+MIN(Tables!$B$26,0.5*H10))))</f>
        <v/>
      </c>
      <c r="AQ10">
        <f>R10+SUMPRODUCT(((MAX(0,L10+AO10+AP10-(Tables!$B$22+IF(B10&gt;=Tables!$B$27,2*Tables!$B$23,0))))&gt;Tables!$A$31:$A$37)*((MAX(0,L10+AO10+AP10-(Tables!$B$22+IF(B10&gt;=Tables!$B$27,2*Tables!$B$23,0))))-Tables!$A$31:$A$37)*Tables!$C$31:$C$37)-O10</f>
        <v/>
      </c>
      <c r="AR10">
        <f>IF((L10+AQ10)+0.5*H10&lt;=Tables!$B$24,0,IF((L10+AQ10)+0.5*H10&lt;=Tables!$B$25,MIN(0.5*H10,0.5*((L10+AQ10)+0.5*H10-Tables!$B$24)),MIN(0.85*H10,0.85*((L10+AQ10)+0.5*H10-Tables!$B$25)+MIN(Tables!$B$26,0.5*H10))))</f>
        <v/>
      </c>
      <c r="AS10">
        <f>R10+SUMPRODUCT(((MAX(0,L10+AQ10+AR10-(Tables!$B$22+IF(B10&gt;=Tables!$B$27,2*Tables!$B$23,0))))&gt;Tables!$A$31:$A$37)*((MAX(0,L10+AQ10+AR10-(Tables!$B$22+IF(B10&gt;=Tables!$B$27,2*Tables!$B$23,0))))-Tables!$A$31:$A$37)*Tables!$C$31:$C$37)-O10</f>
        <v/>
      </c>
      <c r="AT10">
        <f>IF((L10+AS10)+0.5*H10&lt;=Tables!$B$24,0,IF((L10+AS10)+0.5*H10&lt;=Tables!$B$25,MIN(0.5*H10,0.5*((L10+AS10)+0.5*H10-Tables!$B$24)),MIN(0.85*H10,0.85*((L10+AS10)+0.5*H10-Tables!$B$25)+MIN(Tables!$B$26,0.5*H10))))</f>
        <v/>
      </c>
      <c r="AU10">
        <f>R10+SUMPRODUCT(((MAX(0,L10+AS10+AT10-(Tables!$B$22+IF(B10&gt;=Tables!$B$27,2*Tables!$B$23,0))))&gt;Tables!$A$31:$A$37)*((MAX(0,L10+AS10+AT10-(Tables!$B$22+IF(B10&gt;=Tables!$B$27,2*Tables!$B$23,0))))-Tables!$A$31:$A$37)*Tables!$C$31:$C$37)-O10</f>
        <v/>
      </c>
      <c r="AV10">
        <f>IF((L10+AU10)+0.5*H10&lt;=Tables!$B$24,0,IF((L10+AU10)+0.5*H10&lt;=Tables!$B$25,MIN(0.5*H10,0.5*((L10+AU10)+0.5*H10-Tables!$B$24)),MIN(0.85*H10,0.85*((L10+AU10)+0.5*H10-Tables!$B$25)+MIN(Tables!$B$26,0.5*H10))))</f>
        <v/>
      </c>
      <c r="AW10">
        <f>R10+SUMPRODUCT(((MAX(0,L10+AU10+AV10-(Tables!$B$22+IF(B10&gt;=Tables!$B$27,2*Tables!$B$23,0))))&gt;Tables!$A$31:$A$37)*((MAX(0,L10+AU10+AV10-(Tables!$B$22+IF(B10&gt;=Tables!$B$27,2*Tables!$B$23,0))))-Tables!$A$31:$A$37)*Tables!$C$31:$C$37)-O10</f>
        <v/>
      </c>
      <c r="AX10">
        <f>IF((L10+AW10)+0.5*H10&lt;=Tables!$B$24,0,IF((L10+AW10)+0.5*H10&lt;=Tables!$B$25,MIN(0.5*H10,0.5*((L10+AW10)+0.5*H10-Tables!$B$24)),MIN(0.85*H10,0.85*((L10+AW10)+0.5*H10-Tables!$B$25)+MIN(Tables!$B$26,0.5*H10))))</f>
        <v/>
      </c>
      <c r="AY10">
        <f>R10+SUMPRODUCT(((MAX(0,L10+AW10+AX10-(Tables!$B$22+IF(B10&gt;=Tables!$B$27,2*Tables!$B$23,0))))&gt;Tables!$A$31:$A$37)*((MAX(0,L10+AW10+AX10-(Tables!$B$22+IF(B10&gt;=Tables!$B$27,2*Tables!$B$23,0))))-Tables!$A$31:$A$37)*Tables!$C$31:$C$37)-O10</f>
        <v/>
      </c>
      <c r="AZ10">
        <f>IF((L10+AY10)+0.5*H10&lt;=Tables!$B$24,0,IF((L10+AY10)+0.5*H10&lt;=Tables!$B$25,MIN(0.5*H10,0.5*((L10+AY10)+0.5*H10-Tables!$B$24)),MIN(0.85*H10,0.85*((L10+AY10)+0.5*H10-Tables!$B$25)+MIN(Tables!$B$26,0.5*H10))))</f>
        <v/>
      </c>
      <c r="BA10">
        <f>R10+SUMPRODUCT(((MAX(0,L10+AY10+AZ10-(Tables!$B$22+IF(B10&gt;=Tables!$B$27,2*Tables!$B$23,0))))&gt;Tables!$A$31:$A$37)*((MAX(0,L10+AY10+AZ10-(Tables!$B$22+IF(B10&gt;=Tables!$B$27,2*Tables!$B$23,0))))-Tables!$A$31:$A$37)*Tables!$C$31:$C$37)-O10</f>
        <v/>
      </c>
      <c r="BB10">
        <f>IF((L10+BA10)+0.5*H10&lt;=Tables!$B$24,0,IF((L10+BA10)+0.5*H10&lt;=Tables!$B$25,MIN(0.5*H10,0.5*((L10+BA10)+0.5*H10-Tables!$B$24)),MIN(0.85*H10,0.85*((L10+BA10)+0.5*H10-Tables!$B$25)+MIN(Tables!$B$26,0.5*H10))))</f>
        <v/>
      </c>
      <c r="BC10">
        <f>R10+SUMPRODUCT(((MAX(0,L10+BA10+BB10-(Tables!$B$22+IF(B10&gt;=Tables!$B$27,2*Tables!$B$23,0))))&gt;Tables!$A$31:$A$37)*((MAX(0,L10+BA10+BB10-(Tables!$B$22+IF(B10&gt;=Tables!$B$27,2*Tables!$B$23,0))))-Tables!$A$31:$A$37)*Tables!$C$31:$C$37)-O10</f>
        <v/>
      </c>
      <c r="BD10">
        <f>IF((L10+BC10)+0.5*H10&lt;=Tables!$B$24,0,IF((L10+BC10)+0.5*H10&lt;=Tables!$B$25,MIN(0.5*H10,0.5*((L10+BC10)+0.5*H10-Tables!$B$24)),MIN(0.85*H10,0.85*((L10+BC10)+0.5*H10-Tables!$B$25)+MIN(Tables!$B$26,0.5*H10))))</f>
        <v/>
      </c>
      <c r="BE10">
        <f>R10+SUMPRODUCT(((MAX(0,L10+BC10+BD10-(Tables!$B$22+IF(B10&gt;=Tables!$B$27,2*Tables!$B$23,0))))&gt;Tables!$A$31:$A$37)*((MAX(0,L10+BC10+BD10-(Tables!$B$22+IF(B10&gt;=Tables!$B$27,2*Tables!$B$23,0))))-Tables!$A$31:$A$37)*Tables!$C$31:$C$37)-O10</f>
        <v/>
      </c>
      <c r="BF10">
        <f>IF((L10+BE10)+0.5*H10&lt;=Tables!$B$24,0,IF((L10+BE10)+0.5*H10&lt;=Tables!$B$25,MIN(0.5*H10,0.5*((L10+BE10)+0.5*H10-Tables!$B$24)),MIN(0.85*H10,0.85*((L10+BE10)+0.5*H10-Tables!$B$25)+MIN(Tables!$B$26,0.5*H10))))</f>
        <v/>
      </c>
      <c r="BG10">
        <f>R10+SUMPRODUCT(((MAX(0,L10+BE10+BF10-(Tables!$B$22+IF(B10&gt;=Tables!$B$27,2*Tables!$B$23,0))))&gt;Tables!$A$31:$A$37)*((MAX(0,L10+BE10+BF10-(Tables!$B$22+IF(B10&gt;=Tables!$B$27,2*Tables!$B$23,0))))-Tables!$A$31:$A$37)*Tables!$C$31:$C$37)-O10</f>
        <v/>
      </c>
      <c r="BH10">
        <f>IF((L10+BG10)+0.5*H10&lt;=Tables!$B$24,0,IF((L10+BG10)+0.5*H10&lt;=Tables!$B$25,MIN(0.5*H10,0.5*((L10+BG10)+0.5*H10-Tables!$B$24)),MIN(0.85*H10,0.85*((L10+BG10)+0.5*H10-Tables!$B$25)+MIN(Tables!$B$26,0.5*H10))))</f>
        <v/>
      </c>
      <c r="BI10">
        <f>R10+SUMPRODUCT(((MAX(0,L10+BG10+BH10-(Tables!$B$22+IF(B10&gt;=Tables!$B$27,2*Tables!$B$23,0))))&gt;Tables!$A$31:$A$37)*((MAX(0,L10+BG10+BH10-(Tables!$B$22+IF(B10&gt;=Tables!$B$27,2*Tables!$B$23,0))))-Tables!$A$31:$A$37)*Tables!$C$31:$C$37)-O10</f>
        <v/>
      </c>
      <c r="BJ10">
        <f>IF((L10+BI10)+0.5*H10&lt;=Tables!$B$24,0,IF((L10+BI10)+0.5*H10&lt;=Tables!$B$25,MIN(0.5*H10,0.5*((L10+BI10)+0.5*H10-Tables!$B$24)),MIN(0.85*H10,0.85*((L10+BI10)+0.5*H10-Tables!$B$25)+MIN(Tables!$B$26,0.5*H10))))</f>
        <v/>
      </c>
      <c r="BK10">
        <f>R10+SUMPRODUCT(((MAX(0,L10+BI10+BJ10-(Tables!$B$22+IF(B10&gt;=Tables!$B$27,2*Tables!$B$23,0))))&gt;Tables!$A$31:$A$37)*((MAX(0,L10+BI10+BJ10-(Tables!$B$22+IF(B10&gt;=Tables!$B$27,2*Tables!$B$23,0))))-Tables!$A$31:$A$37)*Tables!$C$31:$C$37)-O10</f>
        <v/>
      </c>
      <c r="BL10">
        <f>IF((L10+BK10)+0.5*H10&lt;=Tables!$B$24,0,IF((L10+BK10)+0.5*H10&lt;=Tables!$B$25,MIN(0.5*H10,0.5*((L10+BK10)+0.5*H10-Tables!$B$24)),MIN(0.85*H10,0.85*((L10+BK10)+0.5*H10-Tables!$B$25)+MIN(Tables!$B$26,0.5*H10))))</f>
        <v/>
      </c>
      <c r="BM10">
        <f>R10+SUMPRODUCT(((MAX(0,L10+BK10+BL10-(Tables!$B$22+IF(B10&gt;=Tables!$B$27,2*Tables!$B$23,0))))&gt;Tables!$A$31:$A$37)*((MAX(0,L10+BK10+BL10-(Tables!$B$22+IF(B10&gt;=Tables!$B$27,2*Tables!$B$23,0))))-Tables!$A$31:$A$37)*Tables!$C$31:$C$37)-O10</f>
        <v/>
      </c>
      <c r="BN10">
        <f>IF((L10+BM10)+0.5*H10&lt;=Tables!$B$24,0,IF((L10+BM10)+0.5*H10&lt;=Tables!$B$25,MIN(0.5*H10,0.5*((L10+BM10)+0.5*H10-Tables!$B$24)),MIN(0.85*H10,0.85*((L10+BM10)+0.5*H10-Tables!$B$25)+MIN(Tables!$B$26,0.5*H10))))</f>
        <v/>
      </c>
      <c r="BO10">
        <f>R10+SUMPRODUCT(((MAX(0,L10+BM10+BN10-(Tables!$B$22+IF(B10&gt;=Tables!$B$27,2*Tables!$B$23,0))))&gt;Tables!$A$31:$A$37)*((MAX(0,L10+BM10+BN10-(Tables!$B$22+IF(B10&gt;=Tables!$B$27,2*Tables!$B$23,0))))-Tables!$A$31:$A$37)*Tables!$C$31:$C$37)-O10</f>
        <v/>
      </c>
      <c r="BP10">
        <f>MIN(BO10,S10)</f>
        <v/>
      </c>
      <c r="BQ10">
        <f>L10+BP10</f>
        <v/>
      </c>
      <c r="BR10">
        <f>IF(BQ10+0.5*H10&lt;=Tables!$B$24,0,IF(BQ10+0.5*H10&lt;=Tables!$B$25,MIN(0.5*H10,0.5*(BQ10+0.5*H10-Tables!$B$24)),MIN(0.85*H10,0.85*(BQ10+0.5*H10-Tables!$B$25)+MIN(Tables!$B$26,0.5*H10))))</f>
        <v/>
      </c>
      <c r="BS10">
        <f>MAX(0,BQ10+BR10-(Tables!$B$22+IF(B10&gt;=Tables!$B$27,2*Tables!$B$23,0)))</f>
        <v/>
      </c>
      <c r="BT10">
        <f>SUMPRODUCT(((BS10)&gt;Tables!$A$31:$A$37)*((BS10)-Tables!$A$31:$A$37)*Tables!$C$31:$C$37)</f>
        <v/>
      </c>
      <c r="BU10">
        <f>MAX(0,G10-(H10+BQ10+Q10-BT10))</f>
        <v/>
      </c>
      <c r="BV10">
        <f>MIN(J10,BU10)</f>
        <v/>
      </c>
      <c r="BW10">
        <f>H10+BQ10+Q10+BV10</f>
        <v/>
      </c>
      <c r="BX10">
        <f>MAX(0,BW10-G10-BT10)</f>
        <v/>
      </c>
      <c r="BY10">
        <f>MAX(0,G10+BT10-BW10)</f>
        <v/>
      </c>
      <c r="BZ10">
        <f>IF(C10=0,0,MAX(0,I10-BQ10)*(1+D10))</f>
        <v/>
      </c>
      <c r="CA10">
        <f>IF(C10=0,0,MAX(0,J10-BV10)*(1+D10))</f>
        <v/>
      </c>
      <c r="CB10">
        <f>IF(C10=0,0,MAX(0,K10-Q10+BX10)*(1+D10))</f>
        <v/>
      </c>
      <c r="CC10">
        <f>IF(C10=0,CC9,BZ10+CA10+CB10)</f>
        <v/>
      </c>
      <c r="CD10">
        <f>IF(C10=0,9999,IF(OR(BY10&gt;0.0001,CC10&lt;=0.0001),B10,9999))</f>
        <v/>
      </c>
    </row>
    <row r="11">
      <c r="A11" t="n">
        <v>9</v>
      </c>
      <c r="B11">
        <f>Tables!$B$13+A11</f>
        <v/>
      </c>
      <c r="C11">
        <f>IF(B11&lt;=Tables!$B$18,1,0)</f>
        <v/>
      </c>
      <c r="D11">
        <f>INDEX(Tables!$B$83:$B$123,A11+1)</f>
        <v/>
      </c>
      <c r="E11">
        <f>IF(A11=0,0,INDEX(Tables!$B$83:$B$123,A11))</f>
        <v/>
      </c>
      <c r="F11">
        <f>IF(AND(C11=1,Tables!$B$17="YES",A11&gt;0,E11&lt;Tables!$B$16),Tables!$B$15,0)</f>
        <v/>
      </c>
      <c r="G11">
        <f>IF(C11=0,0,Tables!$B$8-IF(B11&gt;=Tables!$B$7,Tables!$B$6,0)+IF(B11&lt;Tables!$B$27,Tables!$B$9,Tables!$B$10)-F11)</f>
        <v/>
      </c>
      <c r="H11">
        <f>IF(C11=0,0,IF(B11&gt;=Tables!$B$78,Tables!$D$78,0)+IF(B11&gt;=Tables!$C$78,Tables!$E$78,0))</f>
        <v/>
      </c>
      <c r="I11">
        <f>IF(C11=0,0,BZ10)</f>
        <v/>
      </c>
      <c r="J11">
        <f>IF(C11=0,0,CA10)</f>
        <v/>
      </c>
      <c r="K11">
        <f>IF(C11=0,0,CB10)</f>
        <v/>
      </c>
      <c r="L11">
        <f>IF(C11=0,0,IF(B11&gt;=Tables!$B$19,MIN(I11,I11/VLOOKUP(B11,Tables!$A$41:$B$61,2,FALSE)),0))</f>
        <v/>
      </c>
      <c r="M11">
        <f>IF(L11+0.5*H11&lt;=Tables!$B$24,0,IF(L11+0.5*H11&lt;=Tables!$B$25,MIN(0.5*H11,0.5*(L11+0.5*H11-Tables!$B$24)),MIN(0.85*H11,0.85*(L11+0.5*H11-Tables!$B$25)+MIN(Tables!$B$26,0.5*H11))))</f>
        <v/>
      </c>
      <c r="N11">
        <f>MAX(0,L11+M11-(Tables!$B$22+IF(B11&gt;=Tables!$B$27,2*Tables!$B$23,0)))</f>
        <v/>
      </c>
      <c r="O11">
        <f>SUMPRODUCT(((N11)&gt;Tables!$A$31:$A$37)*((N11)-Tables!$A$31:$A$37)*Tables!$C$31:$C$37)</f>
        <v/>
      </c>
      <c r="P11">
        <f>G11-(H11+L11-O11)</f>
        <v/>
      </c>
      <c r="Q11">
        <f>MIN(K11,MAX(0,P11))</f>
        <v/>
      </c>
      <c r="R11">
        <f>MAX(0,P11-Q11)</f>
        <v/>
      </c>
      <c r="S11">
        <f>MAX(0,I11-L11)</f>
        <v/>
      </c>
      <c r="T11">
        <f>IF((L11+R11)+0.5*H11&lt;=Tables!$B$24,0,IF((L11+R11)+0.5*H11&lt;=Tables!$B$25,MIN(0.5*H11,0.5*((L11+R11)+0.5*H11-Tables!$B$24)),MIN(0.85*H11,0.85*((L11+R11)+0.5*H11-Tables!$B$25)+MIN(Tables!$B$26,0.5*H11))))</f>
        <v/>
      </c>
      <c r="U11">
        <f>R11+SUMPRODUCT(((MAX(0,L11+R11+T11-(Tables!$B$22+IF(B11&gt;=Tables!$B$27,2*Tables!$B$23,0))))&gt;Tables!$A$31:$A$37)*((MAX(0,L11+R11+T11-(Tables!$B$22+IF(B11&gt;=Tables!$B$27,2*Tables!$B$23,0))))-Tables!$A$31:$A$37)*Tables!$C$31:$C$37)-O11</f>
        <v/>
      </c>
      <c r="V11">
        <f>IF((L11+U11)+0.5*H11&lt;=Tables!$B$24,0,IF((L11+U11)+0.5*H11&lt;=Tables!$B$25,MIN(0.5*H11,0.5*((L11+U11)+0.5*H11-Tables!$B$24)),MIN(0.85*H11,0.85*((L11+U11)+0.5*H11-Tables!$B$25)+MIN(Tables!$B$26,0.5*H11))))</f>
        <v/>
      </c>
      <c r="W11">
        <f>R11+SUMPRODUCT(((MAX(0,L11+U11+V11-(Tables!$B$22+IF(B11&gt;=Tables!$B$27,2*Tables!$B$23,0))))&gt;Tables!$A$31:$A$37)*((MAX(0,L11+U11+V11-(Tables!$B$22+IF(B11&gt;=Tables!$B$27,2*Tables!$B$23,0))))-Tables!$A$31:$A$37)*Tables!$C$31:$C$37)-O11</f>
        <v/>
      </c>
      <c r="X11">
        <f>IF((L11+W11)+0.5*H11&lt;=Tables!$B$24,0,IF((L11+W11)+0.5*H11&lt;=Tables!$B$25,MIN(0.5*H11,0.5*((L11+W11)+0.5*H11-Tables!$B$24)),MIN(0.85*H11,0.85*((L11+W11)+0.5*H11-Tables!$B$25)+MIN(Tables!$B$26,0.5*H11))))</f>
        <v/>
      </c>
      <c r="Y11">
        <f>R11+SUMPRODUCT(((MAX(0,L11+W11+X11-(Tables!$B$22+IF(B11&gt;=Tables!$B$27,2*Tables!$B$23,0))))&gt;Tables!$A$31:$A$37)*((MAX(0,L11+W11+X11-(Tables!$B$22+IF(B11&gt;=Tables!$B$27,2*Tables!$B$23,0))))-Tables!$A$31:$A$37)*Tables!$C$31:$C$37)-O11</f>
        <v/>
      </c>
      <c r="Z11">
        <f>IF((L11+Y11)+0.5*H11&lt;=Tables!$B$24,0,IF((L11+Y11)+0.5*H11&lt;=Tables!$B$25,MIN(0.5*H11,0.5*((L11+Y11)+0.5*H11-Tables!$B$24)),MIN(0.85*H11,0.85*((L11+Y11)+0.5*H11-Tables!$B$25)+MIN(Tables!$B$26,0.5*H11))))</f>
        <v/>
      </c>
      <c r="AA11">
        <f>R11+SUMPRODUCT(((MAX(0,L11+Y11+Z11-(Tables!$B$22+IF(B11&gt;=Tables!$B$27,2*Tables!$B$23,0))))&gt;Tables!$A$31:$A$37)*((MAX(0,L11+Y11+Z11-(Tables!$B$22+IF(B11&gt;=Tables!$B$27,2*Tables!$B$23,0))))-Tables!$A$31:$A$37)*Tables!$C$31:$C$37)-O11</f>
        <v/>
      </c>
      <c r="AB11">
        <f>IF((L11+AA11)+0.5*H11&lt;=Tables!$B$24,0,IF((L11+AA11)+0.5*H11&lt;=Tables!$B$25,MIN(0.5*H11,0.5*((L11+AA11)+0.5*H11-Tables!$B$24)),MIN(0.85*H11,0.85*((L11+AA11)+0.5*H11-Tables!$B$25)+MIN(Tables!$B$26,0.5*H11))))</f>
        <v/>
      </c>
      <c r="AC11">
        <f>R11+SUMPRODUCT(((MAX(0,L11+AA11+AB11-(Tables!$B$22+IF(B11&gt;=Tables!$B$27,2*Tables!$B$23,0))))&gt;Tables!$A$31:$A$37)*((MAX(0,L11+AA11+AB11-(Tables!$B$22+IF(B11&gt;=Tables!$B$27,2*Tables!$B$23,0))))-Tables!$A$31:$A$37)*Tables!$C$31:$C$37)-O11</f>
        <v/>
      </c>
      <c r="AD11">
        <f>IF((L11+AC11)+0.5*H11&lt;=Tables!$B$24,0,IF((L11+AC11)+0.5*H11&lt;=Tables!$B$25,MIN(0.5*H11,0.5*((L11+AC11)+0.5*H11-Tables!$B$24)),MIN(0.85*H11,0.85*((L11+AC11)+0.5*H11-Tables!$B$25)+MIN(Tables!$B$26,0.5*H11))))</f>
        <v/>
      </c>
      <c r="AE11">
        <f>R11+SUMPRODUCT(((MAX(0,L11+AC11+AD11-(Tables!$B$22+IF(B11&gt;=Tables!$B$27,2*Tables!$B$23,0))))&gt;Tables!$A$31:$A$37)*((MAX(0,L11+AC11+AD11-(Tables!$B$22+IF(B11&gt;=Tables!$B$27,2*Tables!$B$23,0))))-Tables!$A$31:$A$37)*Tables!$C$31:$C$37)-O11</f>
        <v/>
      </c>
      <c r="AF11">
        <f>IF((L11+AE11)+0.5*H11&lt;=Tables!$B$24,0,IF((L11+AE11)+0.5*H11&lt;=Tables!$B$25,MIN(0.5*H11,0.5*((L11+AE11)+0.5*H11-Tables!$B$24)),MIN(0.85*H11,0.85*((L11+AE11)+0.5*H11-Tables!$B$25)+MIN(Tables!$B$26,0.5*H11))))</f>
        <v/>
      </c>
      <c r="AG11">
        <f>R11+SUMPRODUCT(((MAX(0,L11+AE11+AF11-(Tables!$B$22+IF(B11&gt;=Tables!$B$27,2*Tables!$B$23,0))))&gt;Tables!$A$31:$A$37)*((MAX(0,L11+AE11+AF11-(Tables!$B$22+IF(B11&gt;=Tables!$B$27,2*Tables!$B$23,0))))-Tables!$A$31:$A$37)*Tables!$C$31:$C$37)-O11</f>
        <v/>
      </c>
      <c r="AH11">
        <f>IF((L11+AG11)+0.5*H11&lt;=Tables!$B$24,0,IF((L11+AG11)+0.5*H11&lt;=Tables!$B$25,MIN(0.5*H11,0.5*((L11+AG11)+0.5*H11-Tables!$B$24)),MIN(0.85*H11,0.85*((L11+AG11)+0.5*H11-Tables!$B$25)+MIN(Tables!$B$26,0.5*H11))))</f>
        <v/>
      </c>
      <c r="AI11">
        <f>R11+SUMPRODUCT(((MAX(0,L11+AG11+AH11-(Tables!$B$22+IF(B11&gt;=Tables!$B$27,2*Tables!$B$23,0))))&gt;Tables!$A$31:$A$37)*((MAX(0,L11+AG11+AH11-(Tables!$B$22+IF(B11&gt;=Tables!$B$27,2*Tables!$B$23,0))))-Tables!$A$31:$A$37)*Tables!$C$31:$C$37)-O11</f>
        <v/>
      </c>
      <c r="AJ11">
        <f>IF((L11+AI11)+0.5*H11&lt;=Tables!$B$24,0,IF((L11+AI11)+0.5*H11&lt;=Tables!$B$25,MIN(0.5*H11,0.5*((L11+AI11)+0.5*H11-Tables!$B$24)),MIN(0.85*H11,0.85*((L11+AI11)+0.5*H11-Tables!$B$25)+MIN(Tables!$B$26,0.5*H11))))</f>
        <v/>
      </c>
      <c r="AK11">
        <f>R11+SUMPRODUCT(((MAX(0,L11+AI11+AJ11-(Tables!$B$22+IF(B11&gt;=Tables!$B$27,2*Tables!$B$23,0))))&gt;Tables!$A$31:$A$37)*((MAX(0,L11+AI11+AJ11-(Tables!$B$22+IF(B11&gt;=Tables!$B$27,2*Tables!$B$23,0))))-Tables!$A$31:$A$37)*Tables!$C$31:$C$37)-O11</f>
        <v/>
      </c>
      <c r="AL11">
        <f>IF((L11+AK11)+0.5*H11&lt;=Tables!$B$24,0,IF((L11+AK11)+0.5*H11&lt;=Tables!$B$25,MIN(0.5*H11,0.5*((L11+AK11)+0.5*H11-Tables!$B$24)),MIN(0.85*H11,0.85*((L11+AK11)+0.5*H11-Tables!$B$25)+MIN(Tables!$B$26,0.5*H11))))</f>
        <v/>
      </c>
      <c r="AM11">
        <f>R11+SUMPRODUCT(((MAX(0,L11+AK11+AL11-(Tables!$B$22+IF(B11&gt;=Tables!$B$27,2*Tables!$B$23,0))))&gt;Tables!$A$31:$A$37)*((MAX(0,L11+AK11+AL11-(Tables!$B$22+IF(B11&gt;=Tables!$B$27,2*Tables!$B$23,0))))-Tables!$A$31:$A$37)*Tables!$C$31:$C$37)-O11</f>
        <v/>
      </c>
      <c r="AN11">
        <f>IF((L11+AM11)+0.5*H11&lt;=Tables!$B$24,0,IF((L11+AM11)+0.5*H11&lt;=Tables!$B$25,MIN(0.5*H11,0.5*((L11+AM11)+0.5*H11-Tables!$B$24)),MIN(0.85*H11,0.85*((L11+AM11)+0.5*H11-Tables!$B$25)+MIN(Tables!$B$26,0.5*H11))))</f>
        <v/>
      </c>
      <c r="AO11">
        <f>R11+SUMPRODUCT(((MAX(0,L11+AM11+AN11-(Tables!$B$22+IF(B11&gt;=Tables!$B$27,2*Tables!$B$23,0))))&gt;Tables!$A$31:$A$37)*((MAX(0,L11+AM11+AN11-(Tables!$B$22+IF(B11&gt;=Tables!$B$27,2*Tables!$B$23,0))))-Tables!$A$31:$A$37)*Tables!$C$31:$C$37)-O11</f>
        <v/>
      </c>
      <c r="AP11">
        <f>IF((L11+AO11)+0.5*H11&lt;=Tables!$B$24,0,IF((L11+AO11)+0.5*H11&lt;=Tables!$B$25,MIN(0.5*H11,0.5*((L11+AO11)+0.5*H11-Tables!$B$24)),MIN(0.85*H11,0.85*((L11+AO11)+0.5*H11-Tables!$B$25)+MIN(Tables!$B$26,0.5*H11))))</f>
        <v/>
      </c>
      <c r="AQ11">
        <f>R11+SUMPRODUCT(((MAX(0,L11+AO11+AP11-(Tables!$B$22+IF(B11&gt;=Tables!$B$27,2*Tables!$B$23,0))))&gt;Tables!$A$31:$A$37)*((MAX(0,L11+AO11+AP11-(Tables!$B$22+IF(B11&gt;=Tables!$B$27,2*Tables!$B$23,0))))-Tables!$A$31:$A$37)*Tables!$C$31:$C$37)-O11</f>
        <v/>
      </c>
      <c r="AR11">
        <f>IF((L11+AQ11)+0.5*H11&lt;=Tables!$B$24,0,IF((L11+AQ11)+0.5*H11&lt;=Tables!$B$25,MIN(0.5*H11,0.5*((L11+AQ11)+0.5*H11-Tables!$B$24)),MIN(0.85*H11,0.85*((L11+AQ11)+0.5*H11-Tables!$B$25)+MIN(Tables!$B$26,0.5*H11))))</f>
        <v/>
      </c>
      <c r="AS11">
        <f>R11+SUMPRODUCT(((MAX(0,L11+AQ11+AR11-(Tables!$B$22+IF(B11&gt;=Tables!$B$27,2*Tables!$B$23,0))))&gt;Tables!$A$31:$A$37)*((MAX(0,L11+AQ11+AR11-(Tables!$B$22+IF(B11&gt;=Tables!$B$27,2*Tables!$B$23,0))))-Tables!$A$31:$A$37)*Tables!$C$31:$C$37)-O11</f>
        <v/>
      </c>
      <c r="AT11">
        <f>IF((L11+AS11)+0.5*H11&lt;=Tables!$B$24,0,IF((L11+AS11)+0.5*H11&lt;=Tables!$B$25,MIN(0.5*H11,0.5*((L11+AS11)+0.5*H11-Tables!$B$24)),MIN(0.85*H11,0.85*((L11+AS11)+0.5*H11-Tables!$B$25)+MIN(Tables!$B$26,0.5*H11))))</f>
        <v/>
      </c>
      <c r="AU11">
        <f>R11+SUMPRODUCT(((MAX(0,L11+AS11+AT11-(Tables!$B$22+IF(B11&gt;=Tables!$B$27,2*Tables!$B$23,0))))&gt;Tables!$A$31:$A$37)*((MAX(0,L11+AS11+AT11-(Tables!$B$22+IF(B11&gt;=Tables!$B$27,2*Tables!$B$23,0))))-Tables!$A$31:$A$37)*Tables!$C$31:$C$37)-O11</f>
        <v/>
      </c>
      <c r="AV11">
        <f>IF((L11+AU11)+0.5*H11&lt;=Tables!$B$24,0,IF((L11+AU11)+0.5*H11&lt;=Tables!$B$25,MIN(0.5*H11,0.5*((L11+AU11)+0.5*H11-Tables!$B$24)),MIN(0.85*H11,0.85*((L11+AU11)+0.5*H11-Tables!$B$25)+MIN(Tables!$B$26,0.5*H11))))</f>
        <v/>
      </c>
      <c r="AW11">
        <f>R11+SUMPRODUCT(((MAX(0,L11+AU11+AV11-(Tables!$B$22+IF(B11&gt;=Tables!$B$27,2*Tables!$B$23,0))))&gt;Tables!$A$31:$A$37)*((MAX(0,L11+AU11+AV11-(Tables!$B$22+IF(B11&gt;=Tables!$B$27,2*Tables!$B$23,0))))-Tables!$A$31:$A$37)*Tables!$C$31:$C$37)-O11</f>
        <v/>
      </c>
      <c r="AX11">
        <f>IF((L11+AW11)+0.5*H11&lt;=Tables!$B$24,0,IF((L11+AW11)+0.5*H11&lt;=Tables!$B$25,MIN(0.5*H11,0.5*((L11+AW11)+0.5*H11-Tables!$B$24)),MIN(0.85*H11,0.85*((L11+AW11)+0.5*H11-Tables!$B$25)+MIN(Tables!$B$26,0.5*H11))))</f>
        <v/>
      </c>
      <c r="AY11">
        <f>R11+SUMPRODUCT(((MAX(0,L11+AW11+AX11-(Tables!$B$22+IF(B11&gt;=Tables!$B$27,2*Tables!$B$23,0))))&gt;Tables!$A$31:$A$37)*((MAX(0,L11+AW11+AX11-(Tables!$B$22+IF(B11&gt;=Tables!$B$27,2*Tables!$B$23,0))))-Tables!$A$31:$A$37)*Tables!$C$31:$C$37)-O11</f>
        <v/>
      </c>
      <c r="AZ11">
        <f>IF((L11+AY11)+0.5*H11&lt;=Tables!$B$24,0,IF((L11+AY11)+0.5*H11&lt;=Tables!$B$25,MIN(0.5*H11,0.5*((L11+AY11)+0.5*H11-Tables!$B$24)),MIN(0.85*H11,0.85*((L11+AY11)+0.5*H11-Tables!$B$25)+MIN(Tables!$B$26,0.5*H11))))</f>
        <v/>
      </c>
      <c r="BA11">
        <f>R11+SUMPRODUCT(((MAX(0,L11+AY11+AZ11-(Tables!$B$22+IF(B11&gt;=Tables!$B$27,2*Tables!$B$23,0))))&gt;Tables!$A$31:$A$37)*((MAX(0,L11+AY11+AZ11-(Tables!$B$22+IF(B11&gt;=Tables!$B$27,2*Tables!$B$23,0))))-Tables!$A$31:$A$37)*Tables!$C$31:$C$37)-O11</f>
        <v/>
      </c>
      <c r="BB11">
        <f>IF((L11+BA11)+0.5*H11&lt;=Tables!$B$24,0,IF((L11+BA11)+0.5*H11&lt;=Tables!$B$25,MIN(0.5*H11,0.5*((L11+BA11)+0.5*H11-Tables!$B$24)),MIN(0.85*H11,0.85*((L11+BA11)+0.5*H11-Tables!$B$25)+MIN(Tables!$B$26,0.5*H11))))</f>
        <v/>
      </c>
      <c r="BC11">
        <f>R11+SUMPRODUCT(((MAX(0,L11+BA11+BB11-(Tables!$B$22+IF(B11&gt;=Tables!$B$27,2*Tables!$B$23,0))))&gt;Tables!$A$31:$A$37)*((MAX(0,L11+BA11+BB11-(Tables!$B$22+IF(B11&gt;=Tables!$B$27,2*Tables!$B$23,0))))-Tables!$A$31:$A$37)*Tables!$C$31:$C$37)-O11</f>
        <v/>
      </c>
      <c r="BD11">
        <f>IF((L11+BC11)+0.5*H11&lt;=Tables!$B$24,0,IF((L11+BC11)+0.5*H11&lt;=Tables!$B$25,MIN(0.5*H11,0.5*((L11+BC11)+0.5*H11-Tables!$B$24)),MIN(0.85*H11,0.85*((L11+BC11)+0.5*H11-Tables!$B$25)+MIN(Tables!$B$26,0.5*H11))))</f>
        <v/>
      </c>
      <c r="BE11">
        <f>R11+SUMPRODUCT(((MAX(0,L11+BC11+BD11-(Tables!$B$22+IF(B11&gt;=Tables!$B$27,2*Tables!$B$23,0))))&gt;Tables!$A$31:$A$37)*((MAX(0,L11+BC11+BD11-(Tables!$B$22+IF(B11&gt;=Tables!$B$27,2*Tables!$B$23,0))))-Tables!$A$31:$A$37)*Tables!$C$31:$C$37)-O11</f>
        <v/>
      </c>
      <c r="BF11">
        <f>IF((L11+BE11)+0.5*H11&lt;=Tables!$B$24,0,IF((L11+BE11)+0.5*H11&lt;=Tables!$B$25,MIN(0.5*H11,0.5*((L11+BE11)+0.5*H11-Tables!$B$24)),MIN(0.85*H11,0.85*((L11+BE11)+0.5*H11-Tables!$B$25)+MIN(Tables!$B$26,0.5*H11))))</f>
        <v/>
      </c>
      <c r="BG11">
        <f>R11+SUMPRODUCT(((MAX(0,L11+BE11+BF11-(Tables!$B$22+IF(B11&gt;=Tables!$B$27,2*Tables!$B$23,0))))&gt;Tables!$A$31:$A$37)*((MAX(0,L11+BE11+BF11-(Tables!$B$22+IF(B11&gt;=Tables!$B$27,2*Tables!$B$23,0))))-Tables!$A$31:$A$37)*Tables!$C$31:$C$37)-O11</f>
        <v/>
      </c>
      <c r="BH11">
        <f>IF((L11+BG11)+0.5*H11&lt;=Tables!$B$24,0,IF((L11+BG11)+0.5*H11&lt;=Tables!$B$25,MIN(0.5*H11,0.5*((L11+BG11)+0.5*H11-Tables!$B$24)),MIN(0.85*H11,0.85*((L11+BG11)+0.5*H11-Tables!$B$25)+MIN(Tables!$B$26,0.5*H11))))</f>
        <v/>
      </c>
      <c r="BI11">
        <f>R11+SUMPRODUCT(((MAX(0,L11+BG11+BH11-(Tables!$B$22+IF(B11&gt;=Tables!$B$27,2*Tables!$B$23,0))))&gt;Tables!$A$31:$A$37)*((MAX(0,L11+BG11+BH11-(Tables!$B$22+IF(B11&gt;=Tables!$B$27,2*Tables!$B$23,0))))-Tables!$A$31:$A$37)*Tables!$C$31:$C$37)-O11</f>
        <v/>
      </c>
      <c r="BJ11">
        <f>IF((L11+BI11)+0.5*H11&lt;=Tables!$B$24,0,IF((L11+BI11)+0.5*H11&lt;=Tables!$B$25,MIN(0.5*H11,0.5*((L11+BI11)+0.5*H11-Tables!$B$24)),MIN(0.85*H11,0.85*((L11+BI11)+0.5*H11-Tables!$B$25)+MIN(Tables!$B$26,0.5*H11))))</f>
        <v/>
      </c>
      <c r="BK11">
        <f>R11+SUMPRODUCT(((MAX(0,L11+BI11+BJ11-(Tables!$B$22+IF(B11&gt;=Tables!$B$27,2*Tables!$B$23,0))))&gt;Tables!$A$31:$A$37)*((MAX(0,L11+BI11+BJ11-(Tables!$B$22+IF(B11&gt;=Tables!$B$27,2*Tables!$B$23,0))))-Tables!$A$31:$A$37)*Tables!$C$31:$C$37)-O11</f>
        <v/>
      </c>
      <c r="BL11">
        <f>IF((L11+BK11)+0.5*H11&lt;=Tables!$B$24,0,IF((L11+BK11)+0.5*H11&lt;=Tables!$B$25,MIN(0.5*H11,0.5*((L11+BK11)+0.5*H11-Tables!$B$24)),MIN(0.85*H11,0.85*((L11+BK11)+0.5*H11-Tables!$B$25)+MIN(Tables!$B$26,0.5*H11))))</f>
        <v/>
      </c>
      <c r="BM11">
        <f>R11+SUMPRODUCT(((MAX(0,L11+BK11+BL11-(Tables!$B$22+IF(B11&gt;=Tables!$B$27,2*Tables!$B$23,0))))&gt;Tables!$A$31:$A$37)*((MAX(0,L11+BK11+BL11-(Tables!$B$22+IF(B11&gt;=Tables!$B$27,2*Tables!$B$23,0))))-Tables!$A$31:$A$37)*Tables!$C$31:$C$37)-O11</f>
        <v/>
      </c>
      <c r="BN11">
        <f>IF((L11+BM11)+0.5*H11&lt;=Tables!$B$24,0,IF((L11+BM11)+0.5*H11&lt;=Tables!$B$25,MIN(0.5*H11,0.5*((L11+BM11)+0.5*H11-Tables!$B$24)),MIN(0.85*H11,0.85*((L11+BM11)+0.5*H11-Tables!$B$25)+MIN(Tables!$B$26,0.5*H11))))</f>
        <v/>
      </c>
      <c r="BO11">
        <f>R11+SUMPRODUCT(((MAX(0,L11+BM11+BN11-(Tables!$B$22+IF(B11&gt;=Tables!$B$27,2*Tables!$B$23,0))))&gt;Tables!$A$31:$A$37)*((MAX(0,L11+BM11+BN11-(Tables!$B$22+IF(B11&gt;=Tables!$B$27,2*Tables!$B$23,0))))-Tables!$A$31:$A$37)*Tables!$C$31:$C$37)-O11</f>
        <v/>
      </c>
      <c r="BP11">
        <f>MIN(BO11,S11)</f>
        <v/>
      </c>
      <c r="BQ11">
        <f>L11+BP11</f>
        <v/>
      </c>
      <c r="BR11">
        <f>IF(BQ11+0.5*H11&lt;=Tables!$B$24,0,IF(BQ11+0.5*H11&lt;=Tables!$B$25,MIN(0.5*H11,0.5*(BQ11+0.5*H11-Tables!$B$24)),MIN(0.85*H11,0.85*(BQ11+0.5*H11-Tables!$B$25)+MIN(Tables!$B$26,0.5*H11))))</f>
        <v/>
      </c>
      <c r="BS11">
        <f>MAX(0,BQ11+BR11-(Tables!$B$22+IF(B11&gt;=Tables!$B$27,2*Tables!$B$23,0)))</f>
        <v/>
      </c>
      <c r="BT11">
        <f>SUMPRODUCT(((BS11)&gt;Tables!$A$31:$A$37)*((BS11)-Tables!$A$31:$A$37)*Tables!$C$31:$C$37)</f>
        <v/>
      </c>
      <c r="BU11">
        <f>MAX(0,G11-(H11+BQ11+Q11-BT11))</f>
        <v/>
      </c>
      <c r="BV11">
        <f>MIN(J11,BU11)</f>
        <v/>
      </c>
      <c r="BW11">
        <f>H11+BQ11+Q11+BV11</f>
        <v/>
      </c>
      <c r="BX11">
        <f>MAX(0,BW11-G11-BT11)</f>
        <v/>
      </c>
      <c r="BY11">
        <f>MAX(0,G11+BT11-BW11)</f>
        <v/>
      </c>
      <c r="BZ11">
        <f>IF(C11=0,0,MAX(0,I11-BQ11)*(1+D11))</f>
        <v/>
      </c>
      <c r="CA11">
        <f>IF(C11=0,0,MAX(0,J11-BV11)*(1+D11))</f>
        <v/>
      </c>
      <c r="CB11">
        <f>IF(C11=0,0,MAX(0,K11-Q11+BX11)*(1+D11))</f>
        <v/>
      </c>
      <c r="CC11">
        <f>IF(C11=0,CC10,BZ11+CA11+CB11)</f>
        <v/>
      </c>
      <c r="CD11">
        <f>IF(C11=0,9999,IF(OR(BY11&gt;0.0001,CC11&lt;=0.0001),B11,9999))</f>
        <v/>
      </c>
    </row>
    <row r="12">
      <c r="A12" t="n">
        <v>10</v>
      </c>
      <c r="B12">
        <f>Tables!$B$13+A12</f>
        <v/>
      </c>
      <c r="C12">
        <f>IF(B12&lt;=Tables!$B$18,1,0)</f>
        <v/>
      </c>
      <c r="D12">
        <f>INDEX(Tables!$B$83:$B$123,A12+1)</f>
        <v/>
      </c>
      <c r="E12">
        <f>IF(A12=0,0,INDEX(Tables!$B$83:$B$123,A12))</f>
        <v/>
      </c>
      <c r="F12">
        <f>IF(AND(C12=1,Tables!$B$17="YES",A12&gt;0,E12&lt;Tables!$B$16),Tables!$B$15,0)</f>
        <v/>
      </c>
      <c r="G12">
        <f>IF(C12=0,0,Tables!$B$8-IF(B12&gt;=Tables!$B$7,Tables!$B$6,0)+IF(B12&lt;Tables!$B$27,Tables!$B$9,Tables!$B$10)-F12)</f>
        <v/>
      </c>
      <c r="H12">
        <f>IF(C12=0,0,IF(B12&gt;=Tables!$B$78,Tables!$D$78,0)+IF(B12&gt;=Tables!$C$78,Tables!$E$78,0))</f>
        <v/>
      </c>
      <c r="I12">
        <f>IF(C12=0,0,BZ11)</f>
        <v/>
      </c>
      <c r="J12">
        <f>IF(C12=0,0,CA11)</f>
        <v/>
      </c>
      <c r="K12">
        <f>IF(C12=0,0,CB11)</f>
        <v/>
      </c>
      <c r="L12">
        <f>IF(C12=0,0,IF(B12&gt;=Tables!$B$19,MIN(I12,I12/VLOOKUP(B12,Tables!$A$41:$B$61,2,FALSE)),0))</f>
        <v/>
      </c>
      <c r="M12">
        <f>IF(L12+0.5*H12&lt;=Tables!$B$24,0,IF(L12+0.5*H12&lt;=Tables!$B$25,MIN(0.5*H12,0.5*(L12+0.5*H12-Tables!$B$24)),MIN(0.85*H12,0.85*(L12+0.5*H12-Tables!$B$25)+MIN(Tables!$B$26,0.5*H12))))</f>
        <v/>
      </c>
      <c r="N12">
        <f>MAX(0,L12+M12-(Tables!$B$22+IF(B12&gt;=Tables!$B$27,2*Tables!$B$23,0)))</f>
        <v/>
      </c>
      <c r="O12">
        <f>SUMPRODUCT(((N12)&gt;Tables!$A$31:$A$37)*((N12)-Tables!$A$31:$A$37)*Tables!$C$31:$C$37)</f>
        <v/>
      </c>
      <c r="P12">
        <f>G12-(H12+L12-O12)</f>
        <v/>
      </c>
      <c r="Q12">
        <f>MIN(K12,MAX(0,P12))</f>
        <v/>
      </c>
      <c r="R12">
        <f>MAX(0,P12-Q12)</f>
        <v/>
      </c>
      <c r="S12">
        <f>MAX(0,I12-L12)</f>
        <v/>
      </c>
      <c r="T12">
        <f>IF((L12+R12)+0.5*H12&lt;=Tables!$B$24,0,IF((L12+R12)+0.5*H12&lt;=Tables!$B$25,MIN(0.5*H12,0.5*((L12+R12)+0.5*H12-Tables!$B$24)),MIN(0.85*H12,0.85*((L12+R12)+0.5*H12-Tables!$B$25)+MIN(Tables!$B$26,0.5*H12))))</f>
        <v/>
      </c>
      <c r="U12">
        <f>R12+SUMPRODUCT(((MAX(0,L12+R12+T12-(Tables!$B$22+IF(B12&gt;=Tables!$B$27,2*Tables!$B$23,0))))&gt;Tables!$A$31:$A$37)*((MAX(0,L12+R12+T12-(Tables!$B$22+IF(B12&gt;=Tables!$B$27,2*Tables!$B$23,0))))-Tables!$A$31:$A$37)*Tables!$C$31:$C$37)-O12</f>
        <v/>
      </c>
      <c r="V12">
        <f>IF((L12+U12)+0.5*H12&lt;=Tables!$B$24,0,IF((L12+U12)+0.5*H12&lt;=Tables!$B$25,MIN(0.5*H12,0.5*((L12+U12)+0.5*H12-Tables!$B$24)),MIN(0.85*H12,0.85*((L12+U12)+0.5*H12-Tables!$B$25)+MIN(Tables!$B$26,0.5*H12))))</f>
        <v/>
      </c>
      <c r="W12">
        <f>R12+SUMPRODUCT(((MAX(0,L12+U12+V12-(Tables!$B$22+IF(B12&gt;=Tables!$B$27,2*Tables!$B$23,0))))&gt;Tables!$A$31:$A$37)*((MAX(0,L12+U12+V12-(Tables!$B$22+IF(B12&gt;=Tables!$B$27,2*Tables!$B$23,0))))-Tables!$A$31:$A$37)*Tables!$C$31:$C$37)-O12</f>
        <v/>
      </c>
      <c r="X12">
        <f>IF((L12+W12)+0.5*H12&lt;=Tables!$B$24,0,IF((L12+W12)+0.5*H12&lt;=Tables!$B$25,MIN(0.5*H12,0.5*((L12+W12)+0.5*H12-Tables!$B$24)),MIN(0.85*H12,0.85*((L12+W12)+0.5*H12-Tables!$B$25)+MIN(Tables!$B$26,0.5*H12))))</f>
        <v/>
      </c>
      <c r="Y12">
        <f>R12+SUMPRODUCT(((MAX(0,L12+W12+X12-(Tables!$B$22+IF(B12&gt;=Tables!$B$27,2*Tables!$B$23,0))))&gt;Tables!$A$31:$A$37)*((MAX(0,L12+W12+X12-(Tables!$B$22+IF(B12&gt;=Tables!$B$27,2*Tables!$B$23,0))))-Tables!$A$31:$A$37)*Tables!$C$31:$C$37)-O12</f>
        <v/>
      </c>
      <c r="Z12">
        <f>IF((L12+Y12)+0.5*H12&lt;=Tables!$B$24,0,IF((L12+Y12)+0.5*H12&lt;=Tables!$B$25,MIN(0.5*H12,0.5*((L12+Y12)+0.5*H12-Tables!$B$24)),MIN(0.85*H12,0.85*((L12+Y12)+0.5*H12-Tables!$B$25)+MIN(Tables!$B$26,0.5*H12))))</f>
        <v/>
      </c>
      <c r="AA12">
        <f>R12+SUMPRODUCT(((MAX(0,L12+Y12+Z12-(Tables!$B$22+IF(B12&gt;=Tables!$B$27,2*Tables!$B$23,0))))&gt;Tables!$A$31:$A$37)*((MAX(0,L12+Y12+Z12-(Tables!$B$22+IF(B12&gt;=Tables!$B$27,2*Tables!$B$23,0))))-Tables!$A$31:$A$37)*Tables!$C$31:$C$37)-O12</f>
        <v/>
      </c>
      <c r="AB12">
        <f>IF((L12+AA12)+0.5*H12&lt;=Tables!$B$24,0,IF((L12+AA12)+0.5*H12&lt;=Tables!$B$25,MIN(0.5*H12,0.5*((L12+AA12)+0.5*H12-Tables!$B$24)),MIN(0.85*H12,0.85*((L12+AA12)+0.5*H12-Tables!$B$25)+MIN(Tables!$B$26,0.5*H12))))</f>
        <v/>
      </c>
      <c r="AC12">
        <f>R12+SUMPRODUCT(((MAX(0,L12+AA12+AB12-(Tables!$B$22+IF(B12&gt;=Tables!$B$27,2*Tables!$B$23,0))))&gt;Tables!$A$31:$A$37)*((MAX(0,L12+AA12+AB12-(Tables!$B$22+IF(B12&gt;=Tables!$B$27,2*Tables!$B$23,0))))-Tables!$A$31:$A$37)*Tables!$C$31:$C$37)-O12</f>
        <v/>
      </c>
      <c r="AD12">
        <f>IF((L12+AC12)+0.5*H12&lt;=Tables!$B$24,0,IF((L12+AC12)+0.5*H12&lt;=Tables!$B$25,MIN(0.5*H12,0.5*((L12+AC12)+0.5*H12-Tables!$B$24)),MIN(0.85*H12,0.85*((L12+AC12)+0.5*H12-Tables!$B$25)+MIN(Tables!$B$26,0.5*H12))))</f>
        <v/>
      </c>
      <c r="AE12">
        <f>R12+SUMPRODUCT(((MAX(0,L12+AC12+AD12-(Tables!$B$22+IF(B12&gt;=Tables!$B$27,2*Tables!$B$23,0))))&gt;Tables!$A$31:$A$37)*((MAX(0,L12+AC12+AD12-(Tables!$B$22+IF(B12&gt;=Tables!$B$27,2*Tables!$B$23,0))))-Tables!$A$31:$A$37)*Tables!$C$31:$C$37)-O12</f>
        <v/>
      </c>
      <c r="AF12">
        <f>IF((L12+AE12)+0.5*H12&lt;=Tables!$B$24,0,IF((L12+AE12)+0.5*H12&lt;=Tables!$B$25,MIN(0.5*H12,0.5*((L12+AE12)+0.5*H12-Tables!$B$24)),MIN(0.85*H12,0.85*((L12+AE12)+0.5*H12-Tables!$B$25)+MIN(Tables!$B$26,0.5*H12))))</f>
        <v/>
      </c>
      <c r="AG12">
        <f>R12+SUMPRODUCT(((MAX(0,L12+AE12+AF12-(Tables!$B$22+IF(B12&gt;=Tables!$B$27,2*Tables!$B$23,0))))&gt;Tables!$A$31:$A$37)*((MAX(0,L12+AE12+AF12-(Tables!$B$22+IF(B12&gt;=Tables!$B$27,2*Tables!$B$23,0))))-Tables!$A$31:$A$37)*Tables!$C$31:$C$37)-O12</f>
        <v/>
      </c>
      <c r="AH12">
        <f>IF((L12+AG12)+0.5*H12&lt;=Tables!$B$24,0,IF((L12+AG12)+0.5*H12&lt;=Tables!$B$25,MIN(0.5*H12,0.5*((L12+AG12)+0.5*H12-Tables!$B$24)),MIN(0.85*H12,0.85*((L12+AG12)+0.5*H12-Tables!$B$25)+MIN(Tables!$B$26,0.5*H12))))</f>
        <v/>
      </c>
      <c r="AI12">
        <f>R12+SUMPRODUCT(((MAX(0,L12+AG12+AH12-(Tables!$B$22+IF(B12&gt;=Tables!$B$27,2*Tables!$B$23,0))))&gt;Tables!$A$31:$A$37)*((MAX(0,L12+AG12+AH12-(Tables!$B$22+IF(B12&gt;=Tables!$B$27,2*Tables!$B$23,0))))-Tables!$A$31:$A$37)*Tables!$C$31:$C$37)-O12</f>
        <v/>
      </c>
      <c r="AJ12">
        <f>IF((L12+AI12)+0.5*H12&lt;=Tables!$B$24,0,IF((L12+AI12)+0.5*H12&lt;=Tables!$B$25,MIN(0.5*H12,0.5*((L12+AI12)+0.5*H12-Tables!$B$24)),MIN(0.85*H12,0.85*((L12+AI12)+0.5*H12-Tables!$B$25)+MIN(Tables!$B$26,0.5*H12))))</f>
        <v/>
      </c>
      <c r="AK12">
        <f>R12+SUMPRODUCT(((MAX(0,L12+AI12+AJ12-(Tables!$B$22+IF(B12&gt;=Tables!$B$27,2*Tables!$B$23,0))))&gt;Tables!$A$31:$A$37)*((MAX(0,L12+AI12+AJ12-(Tables!$B$22+IF(B12&gt;=Tables!$B$27,2*Tables!$B$23,0))))-Tables!$A$31:$A$37)*Tables!$C$31:$C$37)-O12</f>
        <v/>
      </c>
      <c r="AL12">
        <f>IF((L12+AK12)+0.5*H12&lt;=Tables!$B$24,0,IF((L12+AK12)+0.5*H12&lt;=Tables!$B$25,MIN(0.5*H12,0.5*((L12+AK12)+0.5*H12-Tables!$B$24)),MIN(0.85*H12,0.85*((L12+AK12)+0.5*H12-Tables!$B$25)+MIN(Tables!$B$26,0.5*H12))))</f>
        <v/>
      </c>
      <c r="AM12">
        <f>R12+SUMPRODUCT(((MAX(0,L12+AK12+AL12-(Tables!$B$22+IF(B12&gt;=Tables!$B$27,2*Tables!$B$23,0))))&gt;Tables!$A$31:$A$37)*((MAX(0,L12+AK12+AL12-(Tables!$B$22+IF(B12&gt;=Tables!$B$27,2*Tables!$B$23,0))))-Tables!$A$31:$A$37)*Tables!$C$31:$C$37)-O12</f>
        <v/>
      </c>
      <c r="AN12">
        <f>IF((L12+AM12)+0.5*H12&lt;=Tables!$B$24,0,IF((L12+AM12)+0.5*H12&lt;=Tables!$B$25,MIN(0.5*H12,0.5*((L12+AM12)+0.5*H12-Tables!$B$24)),MIN(0.85*H12,0.85*((L12+AM12)+0.5*H12-Tables!$B$25)+MIN(Tables!$B$26,0.5*H12))))</f>
        <v/>
      </c>
      <c r="AO12">
        <f>R12+SUMPRODUCT(((MAX(0,L12+AM12+AN12-(Tables!$B$22+IF(B12&gt;=Tables!$B$27,2*Tables!$B$23,0))))&gt;Tables!$A$31:$A$37)*((MAX(0,L12+AM12+AN12-(Tables!$B$22+IF(B12&gt;=Tables!$B$27,2*Tables!$B$23,0))))-Tables!$A$31:$A$37)*Tables!$C$31:$C$37)-O12</f>
        <v/>
      </c>
      <c r="AP12">
        <f>IF((L12+AO12)+0.5*H12&lt;=Tables!$B$24,0,IF((L12+AO12)+0.5*H12&lt;=Tables!$B$25,MIN(0.5*H12,0.5*((L12+AO12)+0.5*H12-Tables!$B$24)),MIN(0.85*H12,0.85*((L12+AO12)+0.5*H12-Tables!$B$25)+MIN(Tables!$B$26,0.5*H12))))</f>
        <v/>
      </c>
      <c r="AQ12">
        <f>R12+SUMPRODUCT(((MAX(0,L12+AO12+AP12-(Tables!$B$22+IF(B12&gt;=Tables!$B$27,2*Tables!$B$23,0))))&gt;Tables!$A$31:$A$37)*((MAX(0,L12+AO12+AP12-(Tables!$B$22+IF(B12&gt;=Tables!$B$27,2*Tables!$B$23,0))))-Tables!$A$31:$A$37)*Tables!$C$31:$C$37)-O12</f>
        <v/>
      </c>
      <c r="AR12">
        <f>IF((L12+AQ12)+0.5*H12&lt;=Tables!$B$24,0,IF((L12+AQ12)+0.5*H12&lt;=Tables!$B$25,MIN(0.5*H12,0.5*((L12+AQ12)+0.5*H12-Tables!$B$24)),MIN(0.85*H12,0.85*((L12+AQ12)+0.5*H12-Tables!$B$25)+MIN(Tables!$B$26,0.5*H12))))</f>
        <v/>
      </c>
      <c r="AS12">
        <f>R12+SUMPRODUCT(((MAX(0,L12+AQ12+AR12-(Tables!$B$22+IF(B12&gt;=Tables!$B$27,2*Tables!$B$23,0))))&gt;Tables!$A$31:$A$37)*((MAX(0,L12+AQ12+AR12-(Tables!$B$22+IF(B12&gt;=Tables!$B$27,2*Tables!$B$23,0))))-Tables!$A$31:$A$37)*Tables!$C$31:$C$37)-O12</f>
        <v/>
      </c>
      <c r="AT12">
        <f>IF((L12+AS12)+0.5*H12&lt;=Tables!$B$24,0,IF((L12+AS12)+0.5*H12&lt;=Tables!$B$25,MIN(0.5*H12,0.5*((L12+AS12)+0.5*H12-Tables!$B$24)),MIN(0.85*H12,0.85*((L12+AS12)+0.5*H12-Tables!$B$25)+MIN(Tables!$B$26,0.5*H12))))</f>
        <v/>
      </c>
      <c r="AU12">
        <f>R12+SUMPRODUCT(((MAX(0,L12+AS12+AT12-(Tables!$B$22+IF(B12&gt;=Tables!$B$27,2*Tables!$B$23,0))))&gt;Tables!$A$31:$A$37)*((MAX(0,L12+AS12+AT12-(Tables!$B$22+IF(B12&gt;=Tables!$B$27,2*Tables!$B$23,0))))-Tables!$A$31:$A$37)*Tables!$C$31:$C$37)-O12</f>
        <v/>
      </c>
      <c r="AV12">
        <f>IF((L12+AU12)+0.5*H12&lt;=Tables!$B$24,0,IF((L12+AU12)+0.5*H12&lt;=Tables!$B$25,MIN(0.5*H12,0.5*((L12+AU12)+0.5*H12-Tables!$B$24)),MIN(0.85*H12,0.85*((L12+AU12)+0.5*H12-Tables!$B$25)+MIN(Tables!$B$26,0.5*H12))))</f>
        <v/>
      </c>
      <c r="AW12">
        <f>R12+SUMPRODUCT(((MAX(0,L12+AU12+AV12-(Tables!$B$22+IF(B12&gt;=Tables!$B$27,2*Tables!$B$23,0))))&gt;Tables!$A$31:$A$37)*((MAX(0,L12+AU12+AV12-(Tables!$B$22+IF(B12&gt;=Tables!$B$27,2*Tables!$B$23,0))))-Tables!$A$31:$A$37)*Tables!$C$31:$C$37)-O12</f>
        <v/>
      </c>
      <c r="AX12">
        <f>IF((L12+AW12)+0.5*H12&lt;=Tables!$B$24,0,IF((L12+AW12)+0.5*H12&lt;=Tables!$B$25,MIN(0.5*H12,0.5*((L12+AW12)+0.5*H12-Tables!$B$24)),MIN(0.85*H12,0.85*((L12+AW12)+0.5*H12-Tables!$B$25)+MIN(Tables!$B$26,0.5*H12))))</f>
        <v/>
      </c>
      <c r="AY12">
        <f>R12+SUMPRODUCT(((MAX(0,L12+AW12+AX12-(Tables!$B$22+IF(B12&gt;=Tables!$B$27,2*Tables!$B$23,0))))&gt;Tables!$A$31:$A$37)*((MAX(0,L12+AW12+AX12-(Tables!$B$22+IF(B12&gt;=Tables!$B$27,2*Tables!$B$23,0))))-Tables!$A$31:$A$37)*Tables!$C$31:$C$37)-O12</f>
        <v/>
      </c>
      <c r="AZ12">
        <f>IF((L12+AY12)+0.5*H12&lt;=Tables!$B$24,0,IF((L12+AY12)+0.5*H12&lt;=Tables!$B$25,MIN(0.5*H12,0.5*((L12+AY12)+0.5*H12-Tables!$B$24)),MIN(0.85*H12,0.85*((L12+AY12)+0.5*H12-Tables!$B$25)+MIN(Tables!$B$26,0.5*H12))))</f>
        <v/>
      </c>
      <c r="BA12">
        <f>R12+SUMPRODUCT(((MAX(0,L12+AY12+AZ12-(Tables!$B$22+IF(B12&gt;=Tables!$B$27,2*Tables!$B$23,0))))&gt;Tables!$A$31:$A$37)*((MAX(0,L12+AY12+AZ12-(Tables!$B$22+IF(B12&gt;=Tables!$B$27,2*Tables!$B$23,0))))-Tables!$A$31:$A$37)*Tables!$C$31:$C$37)-O12</f>
        <v/>
      </c>
      <c r="BB12">
        <f>IF((L12+BA12)+0.5*H12&lt;=Tables!$B$24,0,IF((L12+BA12)+0.5*H12&lt;=Tables!$B$25,MIN(0.5*H12,0.5*((L12+BA12)+0.5*H12-Tables!$B$24)),MIN(0.85*H12,0.85*((L12+BA12)+0.5*H12-Tables!$B$25)+MIN(Tables!$B$26,0.5*H12))))</f>
        <v/>
      </c>
      <c r="BC12">
        <f>R12+SUMPRODUCT(((MAX(0,L12+BA12+BB12-(Tables!$B$22+IF(B12&gt;=Tables!$B$27,2*Tables!$B$23,0))))&gt;Tables!$A$31:$A$37)*((MAX(0,L12+BA12+BB12-(Tables!$B$22+IF(B12&gt;=Tables!$B$27,2*Tables!$B$23,0))))-Tables!$A$31:$A$37)*Tables!$C$31:$C$37)-O12</f>
        <v/>
      </c>
      <c r="BD12">
        <f>IF((L12+BC12)+0.5*H12&lt;=Tables!$B$24,0,IF((L12+BC12)+0.5*H12&lt;=Tables!$B$25,MIN(0.5*H12,0.5*((L12+BC12)+0.5*H12-Tables!$B$24)),MIN(0.85*H12,0.85*((L12+BC12)+0.5*H12-Tables!$B$25)+MIN(Tables!$B$26,0.5*H12))))</f>
        <v/>
      </c>
      <c r="BE12">
        <f>R12+SUMPRODUCT(((MAX(0,L12+BC12+BD12-(Tables!$B$22+IF(B12&gt;=Tables!$B$27,2*Tables!$B$23,0))))&gt;Tables!$A$31:$A$37)*((MAX(0,L12+BC12+BD12-(Tables!$B$22+IF(B12&gt;=Tables!$B$27,2*Tables!$B$23,0))))-Tables!$A$31:$A$37)*Tables!$C$31:$C$37)-O12</f>
        <v/>
      </c>
      <c r="BF12">
        <f>IF((L12+BE12)+0.5*H12&lt;=Tables!$B$24,0,IF((L12+BE12)+0.5*H12&lt;=Tables!$B$25,MIN(0.5*H12,0.5*((L12+BE12)+0.5*H12-Tables!$B$24)),MIN(0.85*H12,0.85*((L12+BE12)+0.5*H12-Tables!$B$25)+MIN(Tables!$B$26,0.5*H12))))</f>
        <v/>
      </c>
      <c r="BG12">
        <f>R12+SUMPRODUCT(((MAX(0,L12+BE12+BF12-(Tables!$B$22+IF(B12&gt;=Tables!$B$27,2*Tables!$B$23,0))))&gt;Tables!$A$31:$A$37)*((MAX(0,L12+BE12+BF12-(Tables!$B$22+IF(B12&gt;=Tables!$B$27,2*Tables!$B$23,0))))-Tables!$A$31:$A$37)*Tables!$C$31:$C$37)-O12</f>
        <v/>
      </c>
      <c r="BH12">
        <f>IF((L12+BG12)+0.5*H12&lt;=Tables!$B$24,0,IF((L12+BG12)+0.5*H12&lt;=Tables!$B$25,MIN(0.5*H12,0.5*((L12+BG12)+0.5*H12-Tables!$B$24)),MIN(0.85*H12,0.85*((L12+BG12)+0.5*H12-Tables!$B$25)+MIN(Tables!$B$26,0.5*H12))))</f>
        <v/>
      </c>
      <c r="BI12">
        <f>R12+SUMPRODUCT(((MAX(0,L12+BG12+BH12-(Tables!$B$22+IF(B12&gt;=Tables!$B$27,2*Tables!$B$23,0))))&gt;Tables!$A$31:$A$37)*((MAX(0,L12+BG12+BH12-(Tables!$B$22+IF(B12&gt;=Tables!$B$27,2*Tables!$B$23,0))))-Tables!$A$31:$A$37)*Tables!$C$31:$C$37)-O12</f>
        <v/>
      </c>
      <c r="BJ12">
        <f>IF((L12+BI12)+0.5*H12&lt;=Tables!$B$24,0,IF((L12+BI12)+0.5*H12&lt;=Tables!$B$25,MIN(0.5*H12,0.5*((L12+BI12)+0.5*H12-Tables!$B$24)),MIN(0.85*H12,0.85*((L12+BI12)+0.5*H12-Tables!$B$25)+MIN(Tables!$B$26,0.5*H12))))</f>
        <v/>
      </c>
      <c r="BK12">
        <f>R12+SUMPRODUCT(((MAX(0,L12+BI12+BJ12-(Tables!$B$22+IF(B12&gt;=Tables!$B$27,2*Tables!$B$23,0))))&gt;Tables!$A$31:$A$37)*((MAX(0,L12+BI12+BJ12-(Tables!$B$22+IF(B12&gt;=Tables!$B$27,2*Tables!$B$23,0))))-Tables!$A$31:$A$37)*Tables!$C$31:$C$37)-O12</f>
        <v/>
      </c>
      <c r="BL12">
        <f>IF((L12+BK12)+0.5*H12&lt;=Tables!$B$24,0,IF((L12+BK12)+0.5*H12&lt;=Tables!$B$25,MIN(0.5*H12,0.5*((L12+BK12)+0.5*H12-Tables!$B$24)),MIN(0.85*H12,0.85*((L12+BK12)+0.5*H12-Tables!$B$25)+MIN(Tables!$B$26,0.5*H12))))</f>
        <v/>
      </c>
      <c r="BM12">
        <f>R12+SUMPRODUCT(((MAX(0,L12+BK12+BL12-(Tables!$B$22+IF(B12&gt;=Tables!$B$27,2*Tables!$B$23,0))))&gt;Tables!$A$31:$A$37)*((MAX(0,L12+BK12+BL12-(Tables!$B$22+IF(B12&gt;=Tables!$B$27,2*Tables!$B$23,0))))-Tables!$A$31:$A$37)*Tables!$C$31:$C$37)-O12</f>
        <v/>
      </c>
      <c r="BN12">
        <f>IF((L12+BM12)+0.5*H12&lt;=Tables!$B$24,0,IF((L12+BM12)+0.5*H12&lt;=Tables!$B$25,MIN(0.5*H12,0.5*((L12+BM12)+0.5*H12-Tables!$B$24)),MIN(0.85*H12,0.85*((L12+BM12)+0.5*H12-Tables!$B$25)+MIN(Tables!$B$26,0.5*H12))))</f>
        <v/>
      </c>
      <c r="BO12">
        <f>R12+SUMPRODUCT(((MAX(0,L12+BM12+BN12-(Tables!$B$22+IF(B12&gt;=Tables!$B$27,2*Tables!$B$23,0))))&gt;Tables!$A$31:$A$37)*((MAX(0,L12+BM12+BN12-(Tables!$B$22+IF(B12&gt;=Tables!$B$27,2*Tables!$B$23,0))))-Tables!$A$31:$A$37)*Tables!$C$31:$C$37)-O12</f>
        <v/>
      </c>
      <c r="BP12">
        <f>MIN(BO12,S12)</f>
        <v/>
      </c>
      <c r="BQ12">
        <f>L12+BP12</f>
        <v/>
      </c>
      <c r="BR12">
        <f>IF(BQ12+0.5*H12&lt;=Tables!$B$24,0,IF(BQ12+0.5*H12&lt;=Tables!$B$25,MIN(0.5*H12,0.5*(BQ12+0.5*H12-Tables!$B$24)),MIN(0.85*H12,0.85*(BQ12+0.5*H12-Tables!$B$25)+MIN(Tables!$B$26,0.5*H12))))</f>
        <v/>
      </c>
      <c r="BS12">
        <f>MAX(0,BQ12+BR12-(Tables!$B$22+IF(B12&gt;=Tables!$B$27,2*Tables!$B$23,0)))</f>
        <v/>
      </c>
      <c r="BT12">
        <f>SUMPRODUCT(((BS12)&gt;Tables!$A$31:$A$37)*((BS12)-Tables!$A$31:$A$37)*Tables!$C$31:$C$37)</f>
        <v/>
      </c>
      <c r="BU12">
        <f>MAX(0,G12-(H12+BQ12+Q12-BT12))</f>
        <v/>
      </c>
      <c r="BV12">
        <f>MIN(J12,BU12)</f>
        <v/>
      </c>
      <c r="BW12">
        <f>H12+BQ12+Q12+BV12</f>
        <v/>
      </c>
      <c r="BX12">
        <f>MAX(0,BW12-G12-BT12)</f>
        <v/>
      </c>
      <c r="BY12">
        <f>MAX(0,G12+BT12-BW12)</f>
        <v/>
      </c>
      <c r="BZ12">
        <f>IF(C12=0,0,MAX(0,I12-BQ12)*(1+D12))</f>
        <v/>
      </c>
      <c r="CA12">
        <f>IF(C12=0,0,MAX(0,J12-BV12)*(1+D12))</f>
        <v/>
      </c>
      <c r="CB12">
        <f>IF(C12=0,0,MAX(0,K12-Q12+BX12)*(1+D12))</f>
        <v/>
      </c>
      <c r="CC12">
        <f>IF(C12=0,CC11,BZ12+CA12+CB12)</f>
        <v/>
      </c>
      <c r="CD12">
        <f>IF(C12=0,9999,IF(OR(BY12&gt;0.0001,CC12&lt;=0.0001),B12,9999))</f>
        <v/>
      </c>
    </row>
    <row r="13">
      <c r="A13" t="n">
        <v>11</v>
      </c>
      <c r="B13">
        <f>Tables!$B$13+A13</f>
        <v/>
      </c>
      <c r="C13">
        <f>IF(B13&lt;=Tables!$B$18,1,0)</f>
        <v/>
      </c>
      <c r="D13">
        <f>INDEX(Tables!$B$83:$B$123,A13+1)</f>
        <v/>
      </c>
      <c r="E13">
        <f>IF(A13=0,0,INDEX(Tables!$B$83:$B$123,A13))</f>
        <v/>
      </c>
      <c r="F13">
        <f>IF(AND(C13=1,Tables!$B$17="YES",A13&gt;0,E13&lt;Tables!$B$16),Tables!$B$15,0)</f>
        <v/>
      </c>
      <c r="G13">
        <f>IF(C13=0,0,Tables!$B$8-IF(B13&gt;=Tables!$B$7,Tables!$B$6,0)+IF(B13&lt;Tables!$B$27,Tables!$B$9,Tables!$B$10)-F13)</f>
        <v/>
      </c>
      <c r="H13">
        <f>IF(C13=0,0,IF(B13&gt;=Tables!$B$78,Tables!$D$78,0)+IF(B13&gt;=Tables!$C$78,Tables!$E$78,0))</f>
        <v/>
      </c>
      <c r="I13">
        <f>IF(C13=0,0,BZ12)</f>
        <v/>
      </c>
      <c r="J13">
        <f>IF(C13=0,0,CA12)</f>
        <v/>
      </c>
      <c r="K13">
        <f>IF(C13=0,0,CB12)</f>
        <v/>
      </c>
      <c r="L13">
        <f>IF(C13=0,0,IF(B13&gt;=Tables!$B$19,MIN(I13,I13/VLOOKUP(B13,Tables!$A$41:$B$61,2,FALSE)),0))</f>
        <v/>
      </c>
      <c r="M13">
        <f>IF(L13+0.5*H13&lt;=Tables!$B$24,0,IF(L13+0.5*H13&lt;=Tables!$B$25,MIN(0.5*H13,0.5*(L13+0.5*H13-Tables!$B$24)),MIN(0.85*H13,0.85*(L13+0.5*H13-Tables!$B$25)+MIN(Tables!$B$26,0.5*H13))))</f>
        <v/>
      </c>
      <c r="N13">
        <f>MAX(0,L13+M13-(Tables!$B$22+IF(B13&gt;=Tables!$B$27,2*Tables!$B$23,0)))</f>
        <v/>
      </c>
      <c r="O13">
        <f>SUMPRODUCT(((N13)&gt;Tables!$A$31:$A$37)*((N13)-Tables!$A$31:$A$37)*Tables!$C$31:$C$37)</f>
        <v/>
      </c>
      <c r="P13">
        <f>G13-(H13+L13-O13)</f>
        <v/>
      </c>
      <c r="Q13">
        <f>MIN(K13,MAX(0,P13))</f>
        <v/>
      </c>
      <c r="R13">
        <f>MAX(0,P13-Q13)</f>
        <v/>
      </c>
      <c r="S13">
        <f>MAX(0,I13-L13)</f>
        <v/>
      </c>
      <c r="T13">
        <f>IF((L13+R13)+0.5*H13&lt;=Tables!$B$24,0,IF((L13+R13)+0.5*H13&lt;=Tables!$B$25,MIN(0.5*H13,0.5*((L13+R13)+0.5*H13-Tables!$B$24)),MIN(0.85*H13,0.85*((L13+R13)+0.5*H13-Tables!$B$25)+MIN(Tables!$B$26,0.5*H13))))</f>
        <v/>
      </c>
      <c r="U13">
        <f>R13+SUMPRODUCT(((MAX(0,L13+R13+T13-(Tables!$B$22+IF(B13&gt;=Tables!$B$27,2*Tables!$B$23,0))))&gt;Tables!$A$31:$A$37)*((MAX(0,L13+R13+T13-(Tables!$B$22+IF(B13&gt;=Tables!$B$27,2*Tables!$B$23,0))))-Tables!$A$31:$A$37)*Tables!$C$31:$C$37)-O13</f>
        <v/>
      </c>
      <c r="V13">
        <f>IF((L13+U13)+0.5*H13&lt;=Tables!$B$24,0,IF((L13+U13)+0.5*H13&lt;=Tables!$B$25,MIN(0.5*H13,0.5*((L13+U13)+0.5*H13-Tables!$B$24)),MIN(0.85*H13,0.85*((L13+U13)+0.5*H13-Tables!$B$25)+MIN(Tables!$B$26,0.5*H13))))</f>
        <v/>
      </c>
      <c r="W13">
        <f>R13+SUMPRODUCT(((MAX(0,L13+U13+V13-(Tables!$B$22+IF(B13&gt;=Tables!$B$27,2*Tables!$B$23,0))))&gt;Tables!$A$31:$A$37)*((MAX(0,L13+U13+V13-(Tables!$B$22+IF(B13&gt;=Tables!$B$27,2*Tables!$B$23,0))))-Tables!$A$31:$A$37)*Tables!$C$31:$C$37)-O13</f>
        <v/>
      </c>
      <c r="X13">
        <f>IF((L13+W13)+0.5*H13&lt;=Tables!$B$24,0,IF((L13+W13)+0.5*H13&lt;=Tables!$B$25,MIN(0.5*H13,0.5*((L13+W13)+0.5*H13-Tables!$B$24)),MIN(0.85*H13,0.85*((L13+W13)+0.5*H13-Tables!$B$25)+MIN(Tables!$B$26,0.5*H13))))</f>
        <v/>
      </c>
      <c r="Y13">
        <f>R13+SUMPRODUCT(((MAX(0,L13+W13+X13-(Tables!$B$22+IF(B13&gt;=Tables!$B$27,2*Tables!$B$23,0))))&gt;Tables!$A$31:$A$37)*((MAX(0,L13+W13+X13-(Tables!$B$22+IF(B13&gt;=Tables!$B$27,2*Tables!$B$23,0))))-Tables!$A$31:$A$37)*Tables!$C$31:$C$37)-O13</f>
        <v/>
      </c>
      <c r="Z13">
        <f>IF((L13+Y13)+0.5*H13&lt;=Tables!$B$24,0,IF((L13+Y13)+0.5*H13&lt;=Tables!$B$25,MIN(0.5*H13,0.5*((L13+Y13)+0.5*H13-Tables!$B$24)),MIN(0.85*H13,0.85*((L13+Y13)+0.5*H13-Tables!$B$25)+MIN(Tables!$B$26,0.5*H13))))</f>
        <v/>
      </c>
      <c r="AA13">
        <f>R13+SUMPRODUCT(((MAX(0,L13+Y13+Z13-(Tables!$B$22+IF(B13&gt;=Tables!$B$27,2*Tables!$B$23,0))))&gt;Tables!$A$31:$A$37)*((MAX(0,L13+Y13+Z13-(Tables!$B$22+IF(B13&gt;=Tables!$B$27,2*Tables!$B$23,0))))-Tables!$A$31:$A$37)*Tables!$C$31:$C$37)-O13</f>
        <v/>
      </c>
      <c r="AB13">
        <f>IF((L13+AA13)+0.5*H13&lt;=Tables!$B$24,0,IF((L13+AA13)+0.5*H13&lt;=Tables!$B$25,MIN(0.5*H13,0.5*((L13+AA13)+0.5*H13-Tables!$B$24)),MIN(0.85*H13,0.85*((L13+AA13)+0.5*H13-Tables!$B$25)+MIN(Tables!$B$26,0.5*H13))))</f>
        <v/>
      </c>
      <c r="AC13">
        <f>R13+SUMPRODUCT(((MAX(0,L13+AA13+AB13-(Tables!$B$22+IF(B13&gt;=Tables!$B$27,2*Tables!$B$23,0))))&gt;Tables!$A$31:$A$37)*((MAX(0,L13+AA13+AB13-(Tables!$B$22+IF(B13&gt;=Tables!$B$27,2*Tables!$B$23,0))))-Tables!$A$31:$A$37)*Tables!$C$31:$C$37)-O13</f>
        <v/>
      </c>
      <c r="AD13">
        <f>IF((L13+AC13)+0.5*H13&lt;=Tables!$B$24,0,IF((L13+AC13)+0.5*H13&lt;=Tables!$B$25,MIN(0.5*H13,0.5*((L13+AC13)+0.5*H13-Tables!$B$24)),MIN(0.85*H13,0.85*((L13+AC13)+0.5*H13-Tables!$B$25)+MIN(Tables!$B$26,0.5*H13))))</f>
        <v/>
      </c>
      <c r="AE13">
        <f>R13+SUMPRODUCT(((MAX(0,L13+AC13+AD13-(Tables!$B$22+IF(B13&gt;=Tables!$B$27,2*Tables!$B$23,0))))&gt;Tables!$A$31:$A$37)*((MAX(0,L13+AC13+AD13-(Tables!$B$22+IF(B13&gt;=Tables!$B$27,2*Tables!$B$23,0))))-Tables!$A$31:$A$37)*Tables!$C$31:$C$37)-O13</f>
        <v/>
      </c>
      <c r="AF13">
        <f>IF((L13+AE13)+0.5*H13&lt;=Tables!$B$24,0,IF((L13+AE13)+0.5*H13&lt;=Tables!$B$25,MIN(0.5*H13,0.5*((L13+AE13)+0.5*H13-Tables!$B$24)),MIN(0.85*H13,0.85*((L13+AE13)+0.5*H13-Tables!$B$25)+MIN(Tables!$B$26,0.5*H13))))</f>
        <v/>
      </c>
      <c r="AG13">
        <f>R13+SUMPRODUCT(((MAX(0,L13+AE13+AF13-(Tables!$B$22+IF(B13&gt;=Tables!$B$27,2*Tables!$B$23,0))))&gt;Tables!$A$31:$A$37)*((MAX(0,L13+AE13+AF13-(Tables!$B$22+IF(B13&gt;=Tables!$B$27,2*Tables!$B$23,0))))-Tables!$A$31:$A$37)*Tables!$C$31:$C$37)-O13</f>
        <v/>
      </c>
      <c r="AH13">
        <f>IF((L13+AG13)+0.5*H13&lt;=Tables!$B$24,0,IF((L13+AG13)+0.5*H13&lt;=Tables!$B$25,MIN(0.5*H13,0.5*((L13+AG13)+0.5*H13-Tables!$B$24)),MIN(0.85*H13,0.85*((L13+AG13)+0.5*H13-Tables!$B$25)+MIN(Tables!$B$26,0.5*H13))))</f>
        <v/>
      </c>
      <c r="AI13">
        <f>R13+SUMPRODUCT(((MAX(0,L13+AG13+AH13-(Tables!$B$22+IF(B13&gt;=Tables!$B$27,2*Tables!$B$23,0))))&gt;Tables!$A$31:$A$37)*((MAX(0,L13+AG13+AH13-(Tables!$B$22+IF(B13&gt;=Tables!$B$27,2*Tables!$B$23,0))))-Tables!$A$31:$A$37)*Tables!$C$31:$C$37)-O13</f>
        <v/>
      </c>
      <c r="AJ13">
        <f>IF((L13+AI13)+0.5*H13&lt;=Tables!$B$24,0,IF((L13+AI13)+0.5*H13&lt;=Tables!$B$25,MIN(0.5*H13,0.5*((L13+AI13)+0.5*H13-Tables!$B$24)),MIN(0.85*H13,0.85*((L13+AI13)+0.5*H13-Tables!$B$25)+MIN(Tables!$B$26,0.5*H13))))</f>
        <v/>
      </c>
      <c r="AK13">
        <f>R13+SUMPRODUCT(((MAX(0,L13+AI13+AJ13-(Tables!$B$22+IF(B13&gt;=Tables!$B$27,2*Tables!$B$23,0))))&gt;Tables!$A$31:$A$37)*((MAX(0,L13+AI13+AJ13-(Tables!$B$22+IF(B13&gt;=Tables!$B$27,2*Tables!$B$23,0))))-Tables!$A$31:$A$37)*Tables!$C$31:$C$37)-O13</f>
        <v/>
      </c>
      <c r="AL13">
        <f>IF((L13+AK13)+0.5*H13&lt;=Tables!$B$24,0,IF((L13+AK13)+0.5*H13&lt;=Tables!$B$25,MIN(0.5*H13,0.5*((L13+AK13)+0.5*H13-Tables!$B$24)),MIN(0.85*H13,0.85*((L13+AK13)+0.5*H13-Tables!$B$25)+MIN(Tables!$B$26,0.5*H13))))</f>
        <v/>
      </c>
      <c r="AM13">
        <f>R13+SUMPRODUCT(((MAX(0,L13+AK13+AL13-(Tables!$B$22+IF(B13&gt;=Tables!$B$27,2*Tables!$B$23,0))))&gt;Tables!$A$31:$A$37)*((MAX(0,L13+AK13+AL13-(Tables!$B$22+IF(B13&gt;=Tables!$B$27,2*Tables!$B$23,0))))-Tables!$A$31:$A$37)*Tables!$C$31:$C$37)-O13</f>
        <v/>
      </c>
      <c r="AN13">
        <f>IF((L13+AM13)+0.5*H13&lt;=Tables!$B$24,0,IF((L13+AM13)+0.5*H13&lt;=Tables!$B$25,MIN(0.5*H13,0.5*((L13+AM13)+0.5*H13-Tables!$B$24)),MIN(0.85*H13,0.85*((L13+AM13)+0.5*H13-Tables!$B$25)+MIN(Tables!$B$26,0.5*H13))))</f>
        <v/>
      </c>
      <c r="AO13">
        <f>R13+SUMPRODUCT(((MAX(0,L13+AM13+AN13-(Tables!$B$22+IF(B13&gt;=Tables!$B$27,2*Tables!$B$23,0))))&gt;Tables!$A$31:$A$37)*((MAX(0,L13+AM13+AN13-(Tables!$B$22+IF(B13&gt;=Tables!$B$27,2*Tables!$B$23,0))))-Tables!$A$31:$A$37)*Tables!$C$31:$C$37)-O13</f>
        <v/>
      </c>
      <c r="AP13">
        <f>IF((L13+AO13)+0.5*H13&lt;=Tables!$B$24,0,IF((L13+AO13)+0.5*H13&lt;=Tables!$B$25,MIN(0.5*H13,0.5*((L13+AO13)+0.5*H13-Tables!$B$24)),MIN(0.85*H13,0.85*((L13+AO13)+0.5*H13-Tables!$B$25)+MIN(Tables!$B$26,0.5*H13))))</f>
        <v/>
      </c>
      <c r="AQ13">
        <f>R13+SUMPRODUCT(((MAX(0,L13+AO13+AP13-(Tables!$B$22+IF(B13&gt;=Tables!$B$27,2*Tables!$B$23,0))))&gt;Tables!$A$31:$A$37)*((MAX(0,L13+AO13+AP13-(Tables!$B$22+IF(B13&gt;=Tables!$B$27,2*Tables!$B$23,0))))-Tables!$A$31:$A$37)*Tables!$C$31:$C$37)-O13</f>
        <v/>
      </c>
      <c r="AR13">
        <f>IF((L13+AQ13)+0.5*H13&lt;=Tables!$B$24,0,IF((L13+AQ13)+0.5*H13&lt;=Tables!$B$25,MIN(0.5*H13,0.5*((L13+AQ13)+0.5*H13-Tables!$B$24)),MIN(0.85*H13,0.85*((L13+AQ13)+0.5*H13-Tables!$B$25)+MIN(Tables!$B$26,0.5*H13))))</f>
        <v/>
      </c>
      <c r="AS13">
        <f>R13+SUMPRODUCT(((MAX(0,L13+AQ13+AR13-(Tables!$B$22+IF(B13&gt;=Tables!$B$27,2*Tables!$B$23,0))))&gt;Tables!$A$31:$A$37)*((MAX(0,L13+AQ13+AR13-(Tables!$B$22+IF(B13&gt;=Tables!$B$27,2*Tables!$B$23,0))))-Tables!$A$31:$A$37)*Tables!$C$31:$C$37)-O13</f>
        <v/>
      </c>
      <c r="AT13">
        <f>IF((L13+AS13)+0.5*H13&lt;=Tables!$B$24,0,IF((L13+AS13)+0.5*H13&lt;=Tables!$B$25,MIN(0.5*H13,0.5*((L13+AS13)+0.5*H13-Tables!$B$24)),MIN(0.85*H13,0.85*((L13+AS13)+0.5*H13-Tables!$B$25)+MIN(Tables!$B$26,0.5*H13))))</f>
        <v/>
      </c>
      <c r="AU13">
        <f>R13+SUMPRODUCT(((MAX(0,L13+AS13+AT13-(Tables!$B$22+IF(B13&gt;=Tables!$B$27,2*Tables!$B$23,0))))&gt;Tables!$A$31:$A$37)*((MAX(0,L13+AS13+AT13-(Tables!$B$22+IF(B13&gt;=Tables!$B$27,2*Tables!$B$23,0))))-Tables!$A$31:$A$37)*Tables!$C$31:$C$37)-O13</f>
        <v/>
      </c>
      <c r="AV13">
        <f>IF((L13+AU13)+0.5*H13&lt;=Tables!$B$24,0,IF((L13+AU13)+0.5*H13&lt;=Tables!$B$25,MIN(0.5*H13,0.5*((L13+AU13)+0.5*H13-Tables!$B$24)),MIN(0.85*H13,0.85*((L13+AU13)+0.5*H13-Tables!$B$25)+MIN(Tables!$B$26,0.5*H13))))</f>
        <v/>
      </c>
      <c r="AW13">
        <f>R13+SUMPRODUCT(((MAX(0,L13+AU13+AV13-(Tables!$B$22+IF(B13&gt;=Tables!$B$27,2*Tables!$B$23,0))))&gt;Tables!$A$31:$A$37)*((MAX(0,L13+AU13+AV13-(Tables!$B$22+IF(B13&gt;=Tables!$B$27,2*Tables!$B$23,0))))-Tables!$A$31:$A$37)*Tables!$C$31:$C$37)-O13</f>
        <v/>
      </c>
      <c r="AX13">
        <f>IF((L13+AW13)+0.5*H13&lt;=Tables!$B$24,0,IF((L13+AW13)+0.5*H13&lt;=Tables!$B$25,MIN(0.5*H13,0.5*((L13+AW13)+0.5*H13-Tables!$B$24)),MIN(0.85*H13,0.85*((L13+AW13)+0.5*H13-Tables!$B$25)+MIN(Tables!$B$26,0.5*H13))))</f>
        <v/>
      </c>
      <c r="AY13">
        <f>R13+SUMPRODUCT(((MAX(0,L13+AW13+AX13-(Tables!$B$22+IF(B13&gt;=Tables!$B$27,2*Tables!$B$23,0))))&gt;Tables!$A$31:$A$37)*((MAX(0,L13+AW13+AX13-(Tables!$B$22+IF(B13&gt;=Tables!$B$27,2*Tables!$B$23,0))))-Tables!$A$31:$A$37)*Tables!$C$31:$C$37)-O13</f>
        <v/>
      </c>
      <c r="AZ13">
        <f>IF((L13+AY13)+0.5*H13&lt;=Tables!$B$24,0,IF((L13+AY13)+0.5*H13&lt;=Tables!$B$25,MIN(0.5*H13,0.5*((L13+AY13)+0.5*H13-Tables!$B$24)),MIN(0.85*H13,0.85*((L13+AY13)+0.5*H13-Tables!$B$25)+MIN(Tables!$B$26,0.5*H13))))</f>
        <v/>
      </c>
      <c r="BA13">
        <f>R13+SUMPRODUCT(((MAX(0,L13+AY13+AZ13-(Tables!$B$22+IF(B13&gt;=Tables!$B$27,2*Tables!$B$23,0))))&gt;Tables!$A$31:$A$37)*((MAX(0,L13+AY13+AZ13-(Tables!$B$22+IF(B13&gt;=Tables!$B$27,2*Tables!$B$23,0))))-Tables!$A$31:$A$37)*Tables!$C$31:$C$37)-O13</f>
        <v/>
      </c>
      <c r="BB13">
        <f>IF((L13+BA13)+0.5*H13&lt;=Tables!$B$24,0,IF((L13+BA13)+0.5*H13&lt;=Tables!$B$25,MIN(0.5*H13,0.5*((L13+BA13)+0.5*H13-Tables!$B$24)),MIN(0.85*H13,0.85*((L13+BA13)+0.5*H13-Tables!$B$25)+MIN(Tables!$B$26,0.5*H13))))</f>
        <v/>
      </c>
      <c r="BC13">
        <f>R13+SUMPRODUCT(((MAX(0,L13+BA13+BB13-(Tables!$B$22+IF(B13&gt;=Tables!$B$27,2*Tables!$B$23,0))))&gt;Tables!$A$31:$A$37)*((MAX(0,L13+BA13+BB13-(Tables!$B$22+IF(B13&gt;=Tables!$B$27,2*Tables!$B$23,0))))-Tables!$A$31:$A$37)*Tables!$C$31:$C$37)-O13</f>
        <v/>
      </c>
      <c r="BD13">
        <f>IF((L13+BC13)+0.5*H13&lt;=Tables!$B$24,0,IF((L13+BC13)+0.5*H13&lt;=Tables!$B$25,MIN(0.5*H13,0.5*((L13+BC13)+0.5*H13-Tables!$B$24)),MIN(0.85*H13,0.85*((L13+BC13)+0.5*H13-Tables!$B$25)+MIN(Tables!$B$26,0.5*H13))))</f>
        <v/>
      </c>
      <c r="BE13">
        <f>R13+SUMPRODUCT(((MAX(0,L13+BC13+BD13-(Tables!$B$22+IF(B13&gt;=Tables!$B$27,2*Tables!$B$23,0))))&gt;Tables!$A$31:$A$37)*((MAX(0,L13+BC13+BD13-(Tables!$B$22+IF(B13&gt;=Tables!$B$27,2*Tables!$B$23,0))))-Tables!$A$31:$A$37)*Tables!$C$31:$C$37)-O13</f>
        <v/>
      </c>
      <c r="BF13">
        <f>IF((L13+BE13)+0.5*H13&lt;=Tables!$B$24,0,IF((L13+BE13)+0.5*H13&lt;=Tables!$B$25,MIN(0.5*H13,0.5*((L13+BE13)+0.5*H13-Tables!$B$24)),MIN(0.85*H13,0.85*((L13+BE13)+0.5*H13-Tables!$B$25)+MIN(Tables!$B$26,0.5*H13))))</f>
        <v/>
      </c>
      <c r="BG13">
        <f>R13+SUMPRODUCT(((MAX(0,L13+BE13+BF13-(Tables!$B$22+IF(B13&gt;=Tables!$B$27,2*Tables!$B$23,0))))&gt;Tables!$A$31:$A$37)*((MAX(0,L13+BE13+BF13-(Tables!$B$22+IF(B13&gt;=Tables!$B$27,2*Tables!$B$23,0))))-Tables!$A$31:$A$37)*Tables!$C$31:$C$37)-O13</f>
        <v/>
      </c>
      <c r="BH13">
        <f>IF((L13+BG13)+0.5*H13&lt;=Tables!$B$24,0,IF((L13+BG13)+0.5*H13&lt;=Tables!$B$25,MIN(0.5*H13,0.5*((L13+BG13)+0.5*H13-Tables!$B$24)),MIN(0.85*H13,0.85*((L13+BG13)+0.5*H13-Tables!$B$25)+MIN(Tables!$B$26,0.5*H13))))</f>
        <v/>
      </c>
      <c r="BI13">
        <f>R13+SUMPRODUCT(((MAX(0,L13+BG13+BH13-(Tables!$B$22+IF(B13&gt;=Tables!$B$27,2*Tables!$B$23,0))))&gt;Tables!$A$31:$A$37)*((MAX(0,L13+BG13+BH13-(Tables!$B$22+IF(B13&gt;=Tables!$B$27,2*Tables!$B$23,0))))-Tables!$A$31:$A$37)*Tables!$C$31:$C$37)-O13</f>
        <v/>
      </c>
      <c r="BJ13">
        <f>IF((L13+BI13)+0.5*H13&lt;=Tables!$B$24,0,IF((L13+BI13)+0.5*H13&lt;=Tables!$B$25,MIN(0.5*H13,0.5*((L13+BI13)+0.5*H13-Tables!$B$24)),MIN(0.85*H13,0.85*((L13+BI13)+0.5*H13-Tables!$B$25)+MIN(Tables!$B$26,0.5*H13))))</f>
        <v/>
      </c>
      <c r="BK13">
        <f>R13+SUMPRODUCT(((MAX(0,L13+BI13+BJ13-(Tables!$B$22+IF(B13&gt;=Tables!$B$27,2*Tables!$B$23,0))))&gt;Tables!$A$31:$A$37)*((MAX(0,L13+BI13+BJ13-(Tables!$B$22+IF(B13&gt;=Tables!$B$27,2*Tables!$B$23,0))))-Tables!$A$31:$A$37)*Tables!$C$31:$C$37)-O13</f>
        <v/>
      </c>
      <c r="BL13">
        <f>IF((L13+BK13)+0.5*H13&lt;=Tables!$B$24,0,IF((L13+BK13)+0.5*H13&lt;=Tables!$B$25,MIN(0.5*H13,0.5*((L13+BK13)+0.5*H13-Tables!$B$24)),MIN(0.85*H13,0.85*((L13+BK13)+0.5*H13-Tables!$B$25)+MIN(Tables!$B$26,0.5*H13))))</f>
        <v/>
      </c>
      <c r="BM13">
        <f>R13+SUMPRODUCT(((MAX(0,L13+BK13+BL13-(Tables!$B$22+IF(B13&gt;=Tables!$B$27,2*Tables!$B$23,0))))&gt;Tables!$A$31:$A$37)*((MAX(0,L13+BK13+BL13-(Tables!$B$22+IF(B13&gt;=Tables!$B$27,2*Tables!$B$23,0))))-Tables!$A$31:$A$37)*Tables!$C$31:$C$37)-O13</f>
        <v/>
      </c>
      <c r="BN13">
        <f>IF((L13+BM13)+0.5*H13&lt;=Tables!$B$24,0,IF((L13+BM13)+0.5*H13&lt;=Tables!$B$25,MIN(0.5*H13,0.5*((L13+BM13)+0.5*H13-Tables!$B$24)),MIN(0.85*H13,0.85*((L13+BM13)+0.5*H13-Tables!$B$25)+MIN(Tables!$B$26,0.5*H13))))</f>
        <v/>
      </c>
      <c r="BO13">
        <f>R13+SUMPRODUCT(((MAX(0,L13+BM13+BN13-(Tables!$B$22+IF(B13&gt;=Tables!$B$27,2*Tables!$B$23,0))))&gt;Tables!$A$31:$A$37)*((MAX(0,L13+BM13+BN13-(Tables!$B$22+IF(B13&gt;=Tables!$B$27,2*Tables!$B$23,0))))-Tables!$A$31:$A$37)*Tables!$C$31:$C$37)-O13</f>
        <v/>
      </c>
      <c r="BP13">
        <f>MIN(BO13,S13)</f>
        <v/>
      </c>
      <c r="BQ13">
        <f>L13+BP13</f>
        <v/>
      </c>
      <c r="BR13">
        <f>IF(BQ13+0.5*H13&lt;=Tables!$B$24,0,IF(BQ13+0.5*H13&lt;=Tables!$B$25,MIN(0.5*H13,0.5*(BQ13+0.5*H13-Tables!$B$24)),MIN(0.85*H13,0.85*(BQ13+0.5*H13-Tables!$B$25)+MIN(Tables!$B$26,0.5*H13))))</f>
        <v/>
      </c>
      <c r="BS13">
        <f>MAX(0,BQ13+BR13-(Tables!$B$22+IF(B13&gt;=Tables!$B$27,2*Tables!$B$23,0)))</f>
        <v/>
      </c>
      <c r="BT13">
        <f>SUMPRODUCT(((BS13)&gt;Tables!$A$31:$A$37)*((BS13)-Tables!$A$31:$A$37)*Tables!$C$31:$C$37)</f>
        <v/>
      </c>
      <c r="BU13">
        <f>MAX(0,G13-(H13+BQ13+Q13-BT13))</f>
        <v/>
      </c>
      <c r="BV13">
        <f>MIN(J13,BU13)</f>
        <v/>
      </c>
      <c r="BW13">
        <f>H13+BQ13+Q13+BV13</f>
        <v/>
      </c>
      <c r="BX13">
        <f>MAX(0,BW13-G13-BT13)</f>
        <v/>
      </c>
      <c r="BY13">
        <f>MAX(0,G13+BT13-BW13)</f>
        <v/>
      </c>
      <c r="BZ13">
        <f>IF(C13=0,0,MAX(0,I13-BQ13)*(1+D13))</f>
        <v/>
      </c>
      <c r="CA13">
        <f>IF(C13=0,0,MAX(0,J13-BV13)*(1+D13))</f>
        <v/>
      </c>
      <c r="CB13">
        <f>IF(C13=0,0,MAX(0,K13-Q13+BX13)*(1+D13))</f>
        <v/>
      </c>
      <c r="CC13">
        <f>IF(C13=0,CC12,BZ13+CA13+CB13)</f>
        <v/>
      </c>
      <c r="CD13">
        <f>IF(C13=0,9999,IF(OR(BY13&gt;0.0001,CC13&lt;=0.0001),B13,9999))</f>
        <v/>
      </c>
    </row>
    <row r="14">
      <c r="A14" t="n">
        <v>12</v>
      </c>
      <c r="B14">
        <f>Tables!$B$13+A14</f>
        <v/>
      </c>
      <c r="C14">
        <f>IF(B14&lt;=Tables!$B$18,1,0)</f>
        <v/>
      </c>
      <c r="D14">
        <f>INDEX(Tables!$B$83:$B$123,A14+1)</f>
        <v/>
      </c>
      <c r="E14">
        <f>IF(A14=0,0,INDEX(Tables!$B$83:$B$123,A14))</f>
        <v/>
      </c>
      <c r="F14">
        <f>IF(AND(C14=1,Tables!$B$17="YES",A14&gt;0,E14&lt;Tables!$B$16),Tables!$B$15,0)</f>
        <v/>
      </c>
      <c r="G14">
        <f>IF(C14=0,0,Tables!$B$8-IF(B14&gt;=Tables!$B$7,Tables!$B$6,0)+IF(B14&lt;Tables!$B$27,Tables!$B$9,Tables!$B$10)-F14)</f>
        <v/>
      </c>
      <c r="H14">
        <f>IF(C14=0,0,IF(B14&gt;=Tables!$B$78,Tables!$D$78,0)+IF(B14&gt;=Tables!$C$78,Tables!$E$78,0))</f>
        <v/>
      </c>
      <c r="I14">
        <f>IF(C14=0,0,BZ13)</f>
        <v/>
      </c>
      <c r="J14">
        <f>IF(C14=0,0,CA13)</f>
        <v/>
      </c>
      <c r="K14">
        <f>IF(C14=0,0,CB13)</f>
        <v/>
      </c>
      <c r="L14">
        <f>IF(C14=0,0,IF(B14&gt;=Tables!$B$19,MIN(I14,I14/VLOOKUP(B14,Tables!$A$41:$B$61,2,FALSE)),0))</f>
        <v/>
      </c>
      <c r="M14">
        <f>IF(L14+0.5*H14&lt;=Tables!$B$24,0,IF(L14+0.5*H14&lt;=Tables!$B$25,MIN(0.5*H14,0.5*(L14+0.5*H14-Tables!$B$24)),MIN(0.85*H14,0.85*(L14+0.5*H14-Tables!$B$25)+MIN(Tables!$B$26,0.5*H14))))</f>
        <v/>
      </c>
      <c r="N14">
        <f>MAX(0,L14+M14-(Tables!$B$22+IF(B14&gt;=Tables!$B$27,2*Tables!$B$23,0)))</f>
        <v/>
      </c>
      <c r="O14">
        <f>SUMPRODUCT(((N14)&gt;Tables!$A$31:$A$37)*((N14)-Tables!$A$31:$A$37)*Tables!$C$31:$C$37)</f>
        <v/>
      </c>
      <c r="P14">
        <f>G14-(H14+L14-O14)</f>
        <v/>
      </c>
      <c r="Q14">
        <f>MIN(K14,MAX(0,P14))</f>
        <v/>
      </c>
      <c r="R14">
        <f>MAX(0,P14-Q14)</f>
        <v/>
      </c>
      <c r="S14">
        <f>MAX(0,I14-L14)</f>
        <v/>
      </c>
      <c r="T14">
        <f>IF((L14+R14)+0.5*H14&lt;=Tables!$B$24,0,IF((L14+R14)+0.5*H14&lt;=Tables!$B$25,MIN(0.5*H14,0.5*((L14+R14)+0.5*H14-Tables!$B$24)),MIN(0.85*H14,0.85*((L14+R14)+0.5*H14-Tables!$B$25)+MIN(Tables!$B$26,0.5*H14))))</f>
        <v/>
      </c>
      <c r="U14">
        <f>R14+SUMPRODUCT(((MAX(0,L14+R14+T14-(Tables!$B$22+IF(B14&gt;=Tables!$B$27,2*Tables!$B$23,0))))&gt;Tables!$A$31:$A$37)*((MAX(0,L14+R14+T14-(Tables!$B$22+IF(B14&gt;=Tables!$B$27,2*Tables!$B$23,0))))-Tables!$A$31:$A$37)*Tables!$C$31:$C$37)-O14</f>
        <v/>
      </c>
      <c r="V14">
        <f>IF((L14+U14)+0.5*H14&lt;=Tables!$B$24,0,IF((L14+U14)+0.5*H14&lt;=Tables!$B$25,MIN(0.5*H14,0.5*((L14+U14)+0.5*H14-Tables!$B$24)),MIN(0.85*H14,0.85*((L14+U14)+0.5*H14-Tables!$B$25)+MIN(Tables!$B$26,0.5*H14))))</f>
        <v/>
      </c>
      <c r="W14">
        <f>R14+SUMPRODUCT(((MAX(0,L14+U14+V14-(Tables!$B$22+IF(B14&gt;=Tables!$B$27,2*Tables!$B$23,0))))&gt;Tables!$A$31:$A$37)*((MAX(0,L14+U14+V14-(Tables!$B$22+IF(B14&gt;=Tables!$B$27,2*Tables!$B$23,0))))-Tables!$A$31:$A$37)*Tables!$C$31:$C$37)-O14</f>
        <v/>
      </c>
      <c r="X14">
        <f>IF((L14+W14)+0.5*H14&lt;=Tables!$B$24,0,IF((L14+W14)+0.5*H14&lt;=Tables!$B$25,MIN(0.5*H14,0.5*((L14+W14)+0.5*H14-Tables!$B$24)),MIN(0.85*H14,0.85*((L14+W14)+0.5*H14-Tables!$B$25)+MIN(Tables!$B$26,0.5*H14))))</f>
        <v/>
      </c>
      <c r="Y14">
        <f>R14+SUMPRODUCT(((MAX(0,L14+W14+X14-(Tables!$B$22+IF(B14&gt;=Tables!$B$27,2*Tables!$B$23,0))))&gt;Tables!$A$31:$A$37)*((MAX(0,L14+W14+X14-(Tables!$B$22+IF(B14&gt;=Tables!$B$27,2*Tables!$B$23,0))))-Tables!$A$31:$A$37)*Tables!$C$31:$C$37)-O14</f>
        <v/>
      </c>
      <c r="Z14">
        <f>IF((L14+Y14)+0.5*H14&lt;=Tables!$B$24,0,IF((L14+Y14)+0.5*H14&lt;=Tables!$B$25,MIN(0.5*H14,0.5*((L14+Y14)+0.5*H14-Tables!$B$24)),MIN(0.85*H14,0.85*((L14+Y14)+0.5*H14-Tables!$B$25)+MIN(Tables!$B$26,0.5*H14))))</f>
        <v/>
      </c>
      <c r="AA14">
        <f>R14+SUMPRODUCT(((MAX(0,L14+Y14+Z14-(Tables!$B$22+IF(B14&gt;=Tables!$B$27,2*Tables!$B$23,0))))&gt;Tables!$A$31:$A$37)*((MAX(0,L14+Y14+Z14-(Tables!$B$22+IF(B14&gt;=Tables!$B$27,2*Tables!$B$23,0))))-Tables!$A$31:$A$37)*Tables!$C$31:$C$37)-O14</f>
        <v/>
      </c>
      <c r="AB14">
        <f>IF((L14+AA14)+0.5*H14&lt;=Tables!$B$24,0,IF((L14+AA14)+0.5*H14&lt;=Tables!$B$25,MIN(0.5*H14,0.5*((L14+AA14)+0.5*H14-Tables!$B$24)),MIN(0.85*H14,0.85*((L14+AA14)+0.5*H14-Tables!$B$25)+MIN(Tables!$B$26,0.5*H14))))</f>
        <v/>
      </c>
      <c r="AC14">
        <f>R14+SUMPRODUCT(((MAX(0,L14+AA14+AB14-(Tables!$B$22+IF(B14&gt;=Tables!$B$27,2*Tables!$B$23,0))))&gt;Tables!$A$31:$A$37)*((MAX(0,L14+AA14+AB14-(Tables!$B$22+IF(B14&gt;=Tables!$B$27,2*Tables!$B$23,0))))-Tables!$A$31:$A$37)*Tables!$C$31:$C$37)-O14</f>
        <v/>
      </c>
      <c r="AD14">
        <f>IF((L14+AC14)+0.5*H14&lt;=Tables!$B$24,0,IF((L14+AC14)+0.5*H14&lt;=Tables!$B$25,MIN(0.5*H14,0.5*((L14+AC14)+0.5*H14-Tables!$B$24)),MIN(0.85*H14,0.85*((L14+AC14)+0.5*H14-Tables!$B$25)+MIN(Tables!$B$26,0.5*H14))))</f>
        <v/>
      </c>
      <c r="AE14">
        <f>R14+SUMPRODUCT(((MAX(0,L14+AC14+AD14-(Tables!$B$22+IF(B14&gt;=Tables!$B$27,2*Tables!$B$23,0))))&gt;Tables!$A$31:$A$37)*((MAX(0,L14+AC14+AD14-(Tables!$B$22+IF(B14&gt;=Tables!$B$27,2*Tables!$B$23,0))))-Tables!$A$31:$A$37)*Tables!$C$31:$C$37)-O14</f>
        <v/>
      </c>
      <c r="AF14">
        <f>IF((L14+AE14)+0.5*H14&lt;=Tables!$B$24,0,IF((L14+AE14)+0.5*H14&lt;=Tables!$B$25,MIN(0.5*H14,0.5*((L14+AE14)+0.5*H14-Tables!$B$24)),MIN(0.85*H14,0.85*((L14+AE14)+0.5*H14-Tables!$B$25)+MIN(Tables!$B$26,0.5*H14))))</f>
        <v/>
      </c>
      <c r="AG14">
        <f>R14+SUMPRODUCT(((MAX(0,L14+AE14+AF14-(Tables!$B$22+IF(B14&gt;=Tables!$B$27,2*Tables!$B$23,0))))&gt;Tables!$A$31:$A$37)*((MAX(0,L14+AE14+AF14-(Tables!$B$22+IF(B14&gt;=Tables!$B$27,2*Tables!$B$23,0))))-Tables!$A$31:$A$37)*Tables!$C$31:$C$37)-O14</f>
        <v/>
      </c>
      <c r="AH14">
        <f>IF((L14+AG14)+0.5*H14&lt;=Tables!$B$24,0,IF((L14+AG14)+0.5*H14&lt;=Tables!$B$25,MIN(0.5*H14,0.5*((L14+AG14)+0.5*H14-Tables!$B$24)),MIN(0.85*H14,0.85*((L14+AG14)+0.5*H14-Tables!$B$25)+MIN(Tables!$B$26,0.5*H14))))</f>
        <v/>
      </c>
      <c r="AI14">
        <f>R14+SUMPRODUCT(((MAX(0,L14+AG14+AH14-(Tables!$B$22+IF(B14&gt;=Tables!$B$27,2*Tables!$B$23,0))))&gt;Tables!$A$31:$A$37)*((MAX(0,L14+AG14+AH14-(Tables!$B$22+IF(B14&gt;=Tables!$B$27,2*Tables!$B$23,0))))-Tables!$A$31:$A$37)*Tables!$C$31:$C$37)-O14</f>
        <v/>
      </c>
      <c r="AJ14">
        <f>IF((L14+AI14)+0.5*H14&lt;=Tables!$B$24,0,IF((L14+AI14)+0.5*H14&lt;=Tables!$B$25,MIN(0.5*H14,0.5*((L14+AI14)+0.5*H14-Tables!$B$24)),MIN(0.85*H14,0.85*((L14+AI14)+0.5*H14-Tables!$B$25)+MIN(Tables!$B$26,0.5*H14))))</f>
        <v/>
      </c>
      <c r="AK14">
        <f>R14+SUMPRODUCT(((MAX(0,L14+AI14+AJ14-(Tables!$B$22+IF(B14&gt;=Tables!$B$27,2*Tables!$B$23,0))))&gt;Tables!$A$31:$A$37)*((MAX(0,L14+AI14+AJ14-(Tables!$B$22+IF(B14&gt;=Tables!$B$27,2*Tables!$B$23,0))))-Tables!$A$31:$A$37)*Tables!$C$31:$C$37)-O14</f>
        <v/>
      </c>
      <c r="AL14">
        <f>IF((L14+AK14)+0.5*H14&lt;=Tables!$B$24,0,IF((L14+AK14)+0.5*H14&lt;=Tables!$B$25,MIN(0.5*H14,0.5*((L14+AK14)+0.5*H14-Tables!$B$24)),MIN(0.85*H14,0.85*((L14+AK14)+0.5*H14-Tables!$B$25)+MIN(Tables!$B$26,0.5*H14))))</f>
        <v/>
      </c>
      <c r="AM14">
        <f>R14+SUMPRODUCT(((MAX(0,L14+AK14+AL14-(Tables!$B$22+IF(B14&gt;=Tables!$B$27,2*Tables!$B$23,0))))&gt;Tables!$A$31:$A$37)*((MAX(0,L14+AK14+AL14-(Tables!$B$22+IF(B14&gt;=Tables!$B$27,2*Tables!$B$23,0))))-Tables!$A$31:$A$37)*Tables!$C$31:$C$37)-O14</f>
        <v/>
      </c>
      <c r="AN14">
        <f>IF((L14+AM14)+0.5*H14&lt;=Tables!$B$24,0,IF((L14+AM14)+0.5*H14&lt;=Tables!$B$25,MIN(0.5*H14,0.5*((L14+AM14)+0.5*H14-Tables!$B$24)),MIN(0.85*H14,0.85*((L14+AM14)+0.5*H14-Tables!$B$25)+MIN(Tables!$B$26,0.5*H14))))</f>
        <v/>
      </c>
      <c r="AO14">
        <f>R14+SUMPRODUCT(((MAX(0,L14+AM14+AN14-(Tables!$B$22+IF(B14&gt;=Tables!$B$27,2*Tables!$B$23,0))))&gt;Tables!$A$31:$A$37)*((MAX(0,L14+AM14+AN14-(Tables!$B$22+IF(B14&gt;=Tables!$B$27,2*Tables!$B$23,0))))-Tables!$A$31:$A$37)*Tables!$C$31:$C$37)-O14</f>
        <v/>
      </c>
      <c r="AP14">
        <f>IF((L14+AO14)+0.5*H14&lt;=Tables!$B$24,0,IF((L14+AO14)+0.5*H14&lt;=Tables!$B$25,MIN(0.5*H14,0.5*((L14+AO14)+0.5*H14-Tables!$B$24)),MIN(0.85*H14,0.85*((L14+AO14)+0.5*H14-Tables!$B$25)+MIN(Tables!$B$26,0.5*H14))))</f>
        <v/>
      </c>
      <c r="AQ14">
        <f>R14+SUMPRODUCT(((MAX(0,L14+AO14+AP14-(Tables!$B$22+IF(B14&gt;=Tables!$B$27,2*Tables!$B$23,0))))&gt;Tables!$A$31:$A$37)*((MAX(0,L14+AO14+AP14-(Tables!$B$22+IF(B14&gt;=Tables!$B$27,2*Tables!$B$23,0))))-Tables!$A$31:$A$37)*Tables!$C$31:$C$37)-O14</f>
        <v/>
      </c>
      <c r="AR14">
        <f>IF((L14+AQ14)+0.5*H14&lt;=Tables!$B$24,0,IF((L14+AQ14)+0.5*H14&lt;=Tables!$B$25,MIN(0.5*H14,0.5*((L14+AQ14)+0.5*H14-Tables!$B$24)),MIN(0.85*H14,0.85*((L14+AQ14)+0.5*H14-Tables!$B$25)+MIN(Tables!$B$26,0.5*H14))))</f>
        <v/>
      </c>
      <c r="AS14">
        <f>R14+SUMPRODUCT(((MAX(0,L14+AQ14+AR14-(Tables!$B$22+IF(B14&gt;=Tables!$B$27,2*Tables!$B$23,0))))&gt;Tables!$A$31:$A$37)*((MAX(0,L14+AQ14+AR14-(Tables!$B$22+IF(B14&gt;=Tables!$B$27,2*Tables!$B$23,0))))-Tables!$A$31:$A$37)*Tables!$C$31:$C$37)-O14</f>
        <v/>
      </c>
      <c r="AT14">
        <f>IF((L14+AS14)+0.5*H14&lt;=Tables!$B$24,0,IF((L14+AS14)+0.5*H14&lt;=Tables!$B$25,MIN(0.5*H14,0.5*((L14+AS14)+0.5*H14-Tables!$B$24)),MIN(0.85*H14,0.85*((L14+AS14)+0.5*H14-Tables!$B$25)+MIN(Tables!$B$26,0.5*H14))))</f>
        <v/>
      </c>
      <c r="AU14">
        <f>R14+SUMPRODUCT(((MAX(0,L14+AS14+AT14-(Tables!$B$22+IF(B14&gt;=Tables!$B$27,2*Tables!$B$23,0))))&gt;Tables!$A$31:$A$37)*((MAX(0,L14+AS14+AT14-(Tables!$B$22+IF(B14&gt;=Tables!$B$27,2*Tables!$B$23,0))))-Tables!$A$31:$A$37)*Tables!$C$31:$C$37)-O14</f>
        <v/>
      </c>
      <c r="AV14">
        <f>IF((L14+AU14)+0.5*H14&lt;=Tables!$B$24,0,IF((L14+AU14)+0.5*H14&lt;=Tables!$B$25,MIN(0.5*H14,0.5*((L14+AU14)+0.5*H14-Tables!$B$24)),MIN(0.85*H14,0.85*((L14+AU14)+0.5*H14-Tables!$B$25)+MIN(Tables!$B$26,0.5*H14))))</f>
        <v/>
      </c>
      <c r="AW14">
        <f>R14+SUMPRODUCT(((MAX(0,L14+AU14+AV14-(Tables!$B$22+IF(B14&gt;=Tables!$B$27,2*Tables!$B$23,0))))&gt;Tables!$A$31:$A$37)*((MAX(0,L14+AU14+AV14-(Tables!$B$22+IF(B14&gt;=Tables!$B$27,2*Tables!$B$23,0))))-Tables!$A$31:$A$37)*Tables!$C$31:$C$37)-O14</f>
        <v/>
      </c>
      <c r="AX14">
        <f>IF((L14+AW14)+0.5*H14&lt;=Tables!$B$24,0,IF((L14+AW14)+0.5*H14&lt;=Tables!$B$25,MIN(0.5*H14,0.5*((L14+AW14)+0.5*H14-Tables!$B$24)),MIN(0.85*H14,0.85*((L14+AW14)+0.5*H14-Tables!$B$25)+MIN(Tables!$B$26,0.5*H14))))</f>
        <v/>
      </c>
      <c r="AY14">
        <f>R14+SUMPRODUCT(((MAX(0,L14+AW14+AX14-(Tables!$B$22+IF(B14&gt;=Tables!$B$27,2*Tables!$B$23,0))))&gt;Tables!$A$31:$A$37)*((MAX(0,L14+AW14+AX14-(Tables!$B$22+IF(B14&gt;=Tables!$B$27,2*Tables!$B$23,0))))-Tables!$A$31:$A$37)*Tables!$C$31:$C$37)-O14</f>
        <v/>
      </c>
      <c r="AZ14">
        <f>IF((L14+AY14)+0.5*H14&lt;=Tables!$B$24,0,IF((L14+AY14)+0.5*H14&lt;=Tables!$B$25,MIN(0.5*H14,0.5*((L14+AY14)+0.5*H14-Tables!$B$24)),MIN(0.85*H14,0.85*((L14+AY14)+0.5*H14-Tables!$B$25)+MIN(Tables!$B$26,0.5*H14))))</f>
        <v/>
      </c>
      <c r="BA14">
        <f>R14+SUMPRODUCT(((MAX(0,L14+AY14+AZ14-(Tables!$B$22+IF(B14&gt;=Tables!$B$27,2*Tables!$B$23,0))))&gt;Tables!$A$31:$A$37)*((MAX(0,L14+AY14+AZ14-(Tables!$B$22+IF(B14&gt;=Tables!$B$27,2*Tables!$B$23,0))))-Tables!$A$31:$A$37)*Tables!$C$31:$C$37)-O14</f>
        <v/>
      </c>
      <c r="BB14">
        <f>IF((L14+BA14)+0.5*H14&lt;=Tables!$B$24,0,IF((L14+BA14)+0.5*H14&lt;=Tables!$B$25,MIN(0.5*H14,0.5*((L14+BA14)+0.5*H14-Tables!$B$24)),MIN(0.85*H14,0.85*((L14+BA14)+0.5*H14-Tables!$B$25)+MIN(Tables!$B$26,0.5*H14))))</f>
        <v/>
      </c>
      <c r="BC14">
        <f>R14+SUMPRODUCT(((MAX(0,L14+BA14+BB14-(Tables!$B$22+IF(B14&gt;=Tables!$B$27,2*Tables!$B$23,0))))&gt;Tables!$A$31:$A$37)*((MAX(0,L14+BA14+BB14-(Tables!$B$22+IF(B14&gt;=Tables!$B$27,2*Tables!$B$23,0))))-Tables!$A$31:$A$37)*Tables!$C$31:$C$37)-O14</f>
        <v/>
      </c>
      <c r="BD14">
        <f>IF((L14+BC14)+0.5*H14&lt;=Tables!$B$24,0,IF((L14+BC14)+0.5*H14&lt;=Tables!$B$25,MIN(0.5*H14,0.5*((L14+BC14)+0.5*H14-Tables!$B$24)),MIN(0.85*H14,0.85*((L14+BC14)+0.5*H14-Tables!$B$25)+MIN(Tables!$B$26,0.5*H14))))</f>
        <v/>
      </c>
      <c r="BE14">
        <f>R14+SUMPRODUCT(((MAX(0,L14+BC14+BD14-(Tables!$B$22+IF(B14&gt;=Tables!$B$27,2*Tables!$B$23,0))))&gt;Tables!$A$31:$A$37)*((MAX(0,L14+BC14+BD14-(Tables!$B$22+IF(B14&gt;=Tables!$B$27,2*Tables!$B$23,0))))-Tables!$A$31:$A$37)*Tables!$C$31:$C$37)-O14</f>
        <v/>
      </c>
      <c r="BF14">
        <f>IF((L14+BE14)+0.5*H14&lt;=Tables!$B$24,0,IF((L14+BE14)+0.5*H14&lt;=Tables!$B$25,MIN(0.5*H14,0.5*((L14+BE14)+0.5*H14-Tables!$B$24)),MIN(0.85*H14,0.85*((L14+BE14)+0.5*H14-Tables!$B$25)+MIN(Tables!$B$26,0.5*H14))))</f>
        <v/>
      </c>
      <c r="BG14">
        <f>R14+SUMPRODUCT(((MAX(0,L14+BE14+BF14-(Tables!$B$22+IF(B14&gt;=Tables!$B$27,2*Tables!$B$23,0))))&gt;Tables!$A$31:$A$37)*((MAX(0,L14+BE14+BF14-(Tables!$B$22+IF(B14&gt;=Tables!$B$27,2*Tables!$B$23,0))))-Tables!$A$31:$A$37)*Tables!$C$31:$C$37)-O14</f>
        <v/>
      </c>
      <c r="BH14">
        <f>IF((L14+BG14)+0.5*H14&lt;=Tables!$B$24,0,IF((L14+BG14)+0.5*H14&lt;=Tables!$B$25,MIN(0.5*H14,0.5*((L14+BG14)+0.5*H14-Tables!$B$24)),MIN(0.85*H14,0.85*((L14+BG14)+0.5*H14-Tables!$B$25)+MIN(Tables!$B$26,0.5*H14))))</f>
        <v/>
      </c>
      <c r="BI14">
        <f>R14+SUMPRODUCT(((MAX(0,L14+BG14+BH14-(Tables!$B$22+IF(B14&gt;=Tables!$B$27,2*Tables!$B$23,0))))&gt;Tables!$A$31:$A$37)*((MAX(0,L14+BG14+BH14-(Tables!$B$22+IF(B14&gt;=Tables!$B$27,2*Tables!$B$23,0))))-Tables!$A$31:$A$37)*Tables!$C$31:$C$37)-O14</f>
        <v/>
      </c>
      <c r="BJ14">
        <f>IF((L14+BI14)+0.5*H14&lt;=Tables!$B$24,0,IF((L14+BI14)+0.5*H14&lt;=Tables!$B$25,MIN(0.5*H14,0.5*((L14+BI14)+0.5*H14-Tables!$B$24)),MIN(0.85*H14,0.85*((L14+BI14)+0.5*H14-Tables!$B$25)+MIN(Tables!$B$26,0.5*H14))))</f>
        <v/>
      </c>
      <c r="BK14">
        <f>R14+SUMPRODUCT(((MAX(0,L14+BI14+BJ14-(Tables!$B$22+IF(B14&gt;=Tables!$B$27,2*Tables!$B$23,0))))&gt;Tables!$A$31:$A$37)*((MAX(0,L14+BI14+BJ14-(Tables!$B$22+IF(B14&gt;=Tables!$B$27,2*Tables!$B$23,0))))-Tables!$A$31:$A$37)*Tables!$C$31:$C$37)-O14</f>
        <v/>
      </c>
      <c r="BL14">
        <f>IF((L14+BK14)+0.5*H14&lt;=Tables!$B$24,0,IF((L14+BK14)+0.5*H14&lt;=Tables!$B$25,MIN(0.5*H14,0.5*((L14+BK14)+0.5*H14-Tables!$B$24)),MIN(0.85*H14,0.85*((L14+BK14)+0.5*H14-Tables!$B$25)+MIN(Tables!$B$26,0.5*H14))))</f>
        <v/>
      </c>
      <c r="BM14">
        <f>R14+SUMPRODUCT(((MAX(0,L14+BK14+BL14-(Tables!$B$22+IF(B14&gt;=Tables!$B$27,2*Tables!$B$23,0))))&gt;Tables!$A$31:$A$37)*((MAX(0,L14+BK14+BL14-(Tables!$B$22+IF(B14&gt;=Tables!$B$27,2*Tables!$B$23,0))))-Tables!$A$31:$A$37)*Tables!$C$31:$C$37)-O14</f>
        <v/>
      </c>
      <c r="BN14">
        <f>IF((L14+BM14)+0.5*H14&lt;=Tables!$B$24,0,IF((L14+BM14)+0.5*H14&lt;=Tables!$B$25,MIN(0.5*H14,0.5*((L14+BM14)+0.5*H14-Tables!$B$24)),MIN(0.85*H14,0.85*((L14+BM14)+0.5*H14-Tables!$B$25)+MIN(Tables!$B$26,0.5*H14))))</f>
        <v/>
      </c>
      <c r="BO14">
        <f>R14+SUMPRODUCT(((MAX(0,L14+BM14+BN14-(Tables!$B$22+IF(B14&gt;=Tables!$B$27,2*Tables!$B$23,0))))&gt;Tables!$A$31:$A$37)*((MAX(0,L14+BM14+BN14-(Tables!$B$22+IF(B14&gt;=Tables!$B$27,2*Tables!$B$23,0))))-Tables!$A$31:$A$37)*Tables!$C$31:$C$37)-O14</f>
        <v/>
      </c>
      <c r="BP14">
        <f>MIN(BO14,S14)</f>
        <v/>
      </c>
      <c r="BQ14">
        <f>L14+BP14</f>
        <v/>
      </c>
      <c r="BR14">
        <f>IF(BQ14+0.5*H14&lt;=Tables!$B$24,0,IF(BQ14+0.5*H14&lt;=Tables!$B$25,MIN(0.5*H14,0.5*(BQ14+0.5*H14-Tables!$B$24)),MIN(0.85*H14,0.85*(BQ14+0.5*H14-Tables!$B$25)+MIN(Tables!$B$26,0.5*H14))))</f>
        <v/>
      </c>
      <c r="BS14">
        <f>MAX(0,BQ14+BR14-(Tables!$B$22+IF(B14&gt;=Tables!$B$27,2*Tables!$B$23,0)))</f>
        <v/>
      </c>
      <c r="BT14">
        <f>SUMPRODUCT(((BS14)&gt;Tables!$A$31:$A$37)*((BS14)-Tables!$A$31:$A$37)*Tables!$C$31:$C$37)</f>
        <v/>
      </c>
      <c r="BU14">
        <f>MAX(0,G14-(H14+BQ14+Q14-BT14))</f>
        <v/>
      </c>
      <c r="BV14">
        <f>MIN(J14,BU14)</f>
        <v/>
      </c>
      <c r="BW14">
        <f>H14+BQ14+Q14+BV14</f>
        <v/>
      </c>
      <c r="BX14">
        <f>MAX(0,BW14-G14-BT14)</f>
        <v/>
      </c>
      <c r="BY14">
        <f>MAX(0,G14+BT14-BW14)</f>
        <v/>
      </c>
      <c r="BZ14">
        <f>IF(C14=0,0,MAX(0,I14-BQ14)*(1+D14))</f>
        <v/>
      </c>
      <c r="CA14">
        <f>IF(C14=0,0,MAX(0,J14-BV14)*(1+D14))</f>
        <v/>
      </c>
      <c r="CB14">
        <f>IF(C14=0,0,MAX(0,K14-Q14+BX14)*(1+D14))</f>
        <v/>
      </c>
      <c r="CC14">
        <f>IF(C14=0,CC13,BZ14+CA14+CB14)</f>
        <v/>
      </c>
      <c r="CD14">
        <f>IF(C14=0,9999,IF(OR(BY14&gt;0.0001,CC14&lt;=0.0001),B14,9999))</f>
        <v/>
      </c>
    </row>
    <row r="15">
      <c r="A15" t="n">
        <v>13</v>
      </c>
      <c r="B15">
        <f>Tables!$B$13+A15</f>
        <v/>
      </c>
      <c r="C15">
        <f>IF(B15&lt;=Tables!$B$18,1,0)</f>
        <v/>
      </c>
      <c r="D15">
        <f>INDEX(Tables!$B$83:$B$123,A15+1)</f>
        <v/>
      </c>
      <c r="E15">
        <f>IF(A15=0,0,INDEX(Tables!$B$83:$B$123,A15))</f>
        <v/>
      </c>
      <c r="F15">
        <f>IF(AND(C15=1,Tables!$B$17="YES",A15&gt;0,E15&lt;Tables!$B$16),Tables!$B$15,0)</f>
        <v/>
      </c>
      <c r="G15">
        <f>IF(C15=0,0,Tables!$B$8-IF(B15&gt;=Tables!$B$7,Tables!$B$6,0)+IF(B15&lt;Tables!$B$27,Tables!$B$9,Tables!$B$10)-F15)</f>
        <v/>
      </c>
      <c r="H15">
        <f>IF(C15=0,0,IF(B15&gt;=Tables!$B$78,Tables!$D$78,0)+IF(B15&gt;=Tables!$C$78,Tables!$E$78,0))</f>
        <v/>
      </c>
      <c r="I15">
        <f>IF(C15=0,0,BZ14)</f>
        <v/>
      </c>
      <c r="J15">
        <f>IF(C15=0,0,CA14)</f>
        <v/>
      </c>
      <c r="K15">
        <f>IF(C15=0,0,CB14)</f>
        <v/>
      </c>
      <c r="L15">
        <f>IF(C15=0,0,IF(B15&gt;=Tables!$B$19,MIN(I15,I15/VLOOKUP(B15,Tables!$A$41:$B$61,2,FALSE)),0))</f>
        <v/>
      </c>
      <c r="M15">
        <f>IF(L15+0.5*H15&lt;=Tables!$B$24,0,IF(L15+0.5*H15&lt;=Tables!$B$25,MIN(0.5*H15,0.5*(L15+0.5*H15-Tables!$B$24)),MIN(0.85*H15,0.85*(L15+0.5*H15-Tables!$B$25)+MIN(Tables!$B$26,0.5*H15))))</f>
        <v/>
      </c>
      <c r="N15">
        <f>MAX(0,L15+M15-(Tables!$B$22+IF(B15&gt;=Tables!$B$27,2*Tables!$B$23,0)))</f>
        <v/>
      </c>
      <c r="O15">
        <f>SUMPRODUCT(((N15)&gt;Tables!$A$31:$A$37)*((N15)-Tables!$A$31:$A$37)*Tables!$C$31:$C$37)</f>
        <v/>
      </c>
      <c r="P15">
        <f>G15-(H15+L15-O15)</f>
        <v/>
      </c>
      <c r="Q15">
        <f>MIN(K15,MAX(0,P15))</f>
        <v/>
      </c>
      <c r="R15">
        <f>MAX(0,P15-Q15)</f>
        <v/>
      </c>
      <c r="S15">
        <f>MAX(0,I15-L15)</f>
        <v/>
      </c>
      <c r="T15">
        <f>IF((L15+R15)+0.5*H15&lt;=Tables!$B$24,0,IF((L15+R15)+0.5*H15&lt;=Tables!$B$25,MIN(0.5*H15,0.5*((L15+R15)+0.5*H15-Tables!$B$24)),MIN(0.85*H15,0.85*((L15+R15)+0.5*H15-Tables!$B$25)+MIN(Tables!$B$26,0.5*H15))))</f>
        <v/>
      </c>
      <c r="U15">
        <f>R15+SUMPRODUCT(((MAX(0,L15+R15+T15-(Tables!$B$22+IF(B15&gt;=Tables!$B$27,2*Tables!$B$23,0))))&gt;Tables!$A$31:$A$37)*((MAX(0,L15+R15+T15-(Tables!$B$22+IF(B15&gt;=Tables!$B$27,2*Tables!$B$23,0))))-Tables!$A$31:$A$37)*Tables!$C$31:$C$37)-O15</f>
        <v/>
      </c>
      <c r="V15">
        <f>IF((L15+U15)+0.5*H15&lt;=Tables!$B$24,0,IF((L15+U15)+0.5*H15&lt;=Tables!$B$25,MIN(0.5*H15,0.5*((L15+U15)+0.5*H15-Tables!$B$24)),MIN(0.85*H15,0.85*((L15+U15)+0.5*H15-Tables!$B$25)+MIN(Tables!$B$26,0.5*H15))))</f>
        <v/>
      </c>
      <c r="W15">
        <f>R15+SUMPRODUCT(((MAX(0,L15+U15+V15-(Tables!$B$22+IF(B15&gt;=Tables!$B$27,2*Tables!$B$23,0))))&gt;Tables!$A$31:$A$37)*((MAX(0,L15+U15+V15-(Tables!$B$22+IF(B15&gt;=Tables!$B$27,2*Tables!$B$23,0))))-Tables!$A$31:$A$37)*Tables!$C$31:$C$37)-O15</f>
        <v/>
      </c>
      <c r="X15">
        <f>IF((L15+W15)+0.5*H15&lt;=Tables!$B$24,0,IF((L15+W15)+0.5*H15&lt;=Tables!$B$25,MIN(0.5*H15,0.5*((L15+W15)+0.5*H15-Tables!$B$24)),MIN(0.85*H15,0.85*((L15+W15)+0.5*H15-Tables!$B$25)+MIN(Tables!$B$26,0.5*H15))))</f>
        <v/>
      </c>
      <c r="Y15">
        <f>R15+SUMPRODUCT(((MAX(0,L15+W15+X15-(Tables!$B$22+IF(B15&gt;=Tables!$B$27,2*Tables!$B$23,0))))&gt;Tables!$A$31:$A$37)*((MAX(0,L15+W15+X15-(Tables!$B$22+IF(B15&gt;=Tables!$B$27,2*Tables!$B$23,0))))-Tables!$A$31:$A$37)*Tables!$C$31:$C$37)-O15</f>
        <v/>
      </c>
      <c r="Z15">
        <f>IF((L15+Y15)+0.5*H15&lt;=Tables!$B$24,0,IF((L15+Y15)+0.5*H15&lt;=Tables!$B$25,MIN(0.5*H15,0.5*((L15+Y15)+0.5*H15-Tables!$B$24)),MIN(0.85*H15,0.85*((L15+Y15)+0.5*H15-Tables!$B$25)+MIN(Tables!$B$26,0.5*H15))))</f>
        <v/>
      </c>
      <c r="AA15">
        <f>R15+SUMPRODUCT(((MAX(0,L15+Y15+Z15-(Tables!$B$22+IF(B15&gt;=Tables!$B$27,2*Tables!$B$23,0))))&gt;Tables!$A$31:$A$37)*((MAX(0,L15+Y15+Z15-(Tables!$B$22+IF(B15&gt;=Tables!$B$27,2*Tables!$B$23,0))))-Tables!$A$31:$A$37)*Tables!$C$31:$C$37)-O15</f>
        <v/>
      </c>
      <c r="AB15">
        <f>IF((L15+AA15)+0.5*H15&lt;=Tables!$B$24,0,IF((L15+AA15)+0.5*H15&lt;=Tables!$B$25,MIN(0.5*H15,0.5*((L15+AA15)+0.5*H15-Tables!$B$24)),MIN(0.85*H15,0.85*((L15+AA15)+0.5*H15-Tables!$B$25)+MIN(Tables!$B$26,0.5*H15))))</f>
        <v/>
      </c>
      <c r="AC15">
        <f>R15+SUMPRODUCT(((MAX(0,L15+AA15+AB15-(Tables!$B$22+IF(B15&gt;=Tables!$B$27,2*Tables!$B$23,0))))&gt;Tables!$A$31:$A$37)*((MAX(0,L15+AA15+AB15-(Tables!$B$22+IF(B15&gt;=Tables!$B$27,2*Tables!$B$23,0))))-Tables!$A$31:$A$37)*Tables!$C$31:$C$37)-O15</f>
        <v/>
      </c>
      <c r="AD15">
        <f>IF((L15+AC15)+0.5*H15&lt;=Tables!$B$24,0,IF((L15+AC15)+0.5*H15&lt;=Tables!$B$25,MIN(0.5*H15,0.5*((L15+AC15)+0.5*H15-Tables!$B$24)),MIN(0.85*H15,0.85*((L15+AC15)+0.5*H15-Tables!$B$25)+MIN(Tables!$B$26,0.5*H15))))</f>
        <v/>
      </c>
      <c r="AE15">
        <f>R15+SUMPRODUCT(((MAX(0,L15+AC15+AD15-(Tables!$B$22+IF(B15&gt;=Tables!$B$27,2*Tables!$B$23,0))))&gt;Tables!$A$31:$A$37)*((MAX(0,L15+AC15+AD15-(Tables!$B$22+IF(B15&gt;=Tables!$B$27,2*Tables!$B$23,0))))-Tables!$A$31:$A$37)*Tables!$C$31:$C$37)-O15</f>
        <v/>
      </c>
      <c r="AF15">
        <f>IF((L15+AE15)+0.5*H15&lt;=Tables!$B$24,0,IF((L15+AE15)+0.5*H15&lt;=Tables!$B$25,MIN(0.5*H15,0.5*((L15+AE15)+0.5*H15-Tables!$B$24)),MIN(0.85*H15,0.85*((L15+AE15)+0.5*H15-Tables!$B$25)+MIN(Tables!$B$26,0.5*H15))))</f>
        <v/>
      </c>
      <c r="AG15">
        <f>R15+SUMPRODUCT(((MAX(0,L15+AE15+AF15-(Tables!$B$22+IF(B15&gt;=Tables!$B$27,2*Tables!$B$23,0))))&gt;Tables!$A$31:$A$37)*((MAX(0,L15+AE15+AF15-(Tables!$B$22+IF(B15&gt;=Tables!$B$27,2*Tables!$B$23,0))))-Tables!$A$31:$A$37)*Tables!$C$31:$C$37)-O15</f>
        <v/>
      </c>
      <c r="AH15">
        <f>IF((L15+AG15)+0.5*H15&lt;=Tables!$B$24,0,IF((L15+AG15)+0.5*H15&lt;=Tables!$B$25,MIN(0.5*H15,0.5*((L15+AG15)+0.5*H15-Tables!$B$24)),MIN(0.85*H15,0.85*((L15+AG15)+0.5*H15-Tables!$B$25)+MIN(Tables!$B$26,0.5*H15))))</f>
        <v/>
      </c>
      <c r="AI15">
        <f>R15+SUMPRODUCT(((MAX(0,L15+AG15+AH15-(Tables!$B$22+IF(B15&gt;=Tables!$B$27,2*Tables!$B$23,0))))&gt;Tables!$A$31:$A$37)*((MAX(0,L15+AG15+AH15-(Tables!$B$22+IF(B15&gt;=Tables!$B$27,2*Tables!$B$23,0))))-Tables!$A$31:$A$37)*Tables!$C$31:$C$37)-O15</f>
        <v/>
      </c>
      <c r="AJ15">
        <f>IF((L15+AI15)+0.5*H15&lt;=Tables!$B$24,0,IF((L15+AI15)+0.5*H15&lt;=Tables!$B$25,MIN(0.5*H15,0.5*((L15+AI15)+0.5*H15-Tables!$B$24)),MIN(0.85*H15,0.85*((L15+AI15)+0.5*H15-Tables!$B$25)+MIN(Tables!$B$26,0.5*H15))))</f>
        <v/>
      </c>
      <c r="AK15">
        <f>R15+SUMPRODUCT(((MAX(0,L15+AI15+AJ15-(Tables!$B$22+IF(B15&gt;=Tables!$B$27,2*Tables!$B$23,0))))&gt;Tables!$A$31:$A$37)*((MAX(0,L15+AI15+AJ15-(Tables!$B$22+IF(B15&gt;=Tables!$B$27,2*Tables!$B$23,0))))-Tables!$A$31:$A$37)*Tables!$C$31:$C$37)-O15</f>
        <v/>
      </c>
      <c r="AL15">
        <f>IF((L15+AK15)+0.5*H15&lt;=Tables!$B$24,0,IF((L15+AK15)+0.5*H15&lt;=Tables!$B$25,MIN(0.5*H15,0.5*((L15+AK15)+0.5*H15-Tables!$B$24)),MIN(0.85*H15,0.85*((L15+AK15)+0.5*H15-Tables!$B$25)+MIN(Tables!$B$26,0.5*H15))))</f>
        <v/>
      </c>
      <c r="AM15">
        <f>R15+SUMPRODUCT(((MAX(0,L15+AK15+AL15-(Tables!$B$22+IF(B15&gt;=Tables!$B$27,2*Tables!$B$23,0))))&gt;Tables!$A$31:$A$37)*((MAX(0,L15+AK15+AL15-(Tables!$B$22+IF(B15&gt;=Tables!$B$27,2*Tables!$B$23,0))))-Tables!$A$31:$A$37)*Tables!$C$31:$C$37)-O15</f>
        <v/>
      </c>
      <c r="AN15">
        <f>IF((L15+AM15)+0.5*H15&lt;=Tables!$B$24,0,IF((L15+AM15)+0.5*H15&lt;=Tables!$B$25,MIN(0.5*H15,0.5*((L15+AM15)+0.5*H15-Tables!$B$24)),MIN(0.85*H15,0.85*((L15+AM15)+0.5*H15-Tables!$B$25)+MIN(Tables!$B$26,0.5*H15))))</f>
        <v/>
      </c>
      <c r="AO15">
        <f>R15+SUMPRODUCT(((MAX(0,L15+AM15+AN15-(Tables!$B$22+IF(B15&gt;=Tables!$B$27,2*Tables!$B$23,0))))&gt;Tables!$A$31:$A$37)*((MAX(0,L15+AM15+AN15-(Tables!$B$22+IF(B15&gt;=Tables!$B$27,2*Tables!$B$23,0))))-Tables!$A$31:$A$37)*Tables!$C$31:$C$37)-O15</f>
        <v/>
      </c>
      <c r="AP15">
        <f>IF((L15+AO15)+0.5*H15&lt;=Tables!$B$24,0,IF((L15+AO15)+0.5*H15&lt;=Tables!$B$25,MIN(0.5*H15,0.5*((L15+AO15)+0.5*H15-Tables!$B$24)),MIN(0.85*H15,0.85*((L15+AO15)+0.5*H15-Tables!$B$25)+MIN(Tables!$B$26,0.5*H15))))</f>
        <v/>
      </c>
      <c r="AQ15">
        <f>R15+SUMPRODUCT(((MAX(0,L15+AO15+AP15-(Tables!$B$22+IF(B15&gt;=Tables!$B$27,2*Tables!$B$23,0))))&gt;Tables!$A$31:$A$37)*((MAX(0,L15+AO15+AP15-(Tables!$B$22+IF(B15&gt;=Tables!$B$27,2*Tables!$B$23,0))))-Tables!$A$31:$A$37)*Tables!$C$31:$C$37)-O15</f>
        <v/>
      </c>
      <c r="AR15">
        <f>IF((L15+AQ15)+0.5*H15&lt;=Tables!$B$24,0,IF((L15+AQ15)+0.5*H15&lt;=Tables!$B$25,MIN(0.5*H15,0.5*((L15+AQ15)+0.5*H15-Tables!$B$24)),MIN(0.85*H15,0.85*((L15+AQ15)+0.5*H15-Tables!$B$25)+MIN(Tables!$B$26,0.5*H15))))</f>
        <v/>
      </c>
      <c r="AS15">
        <f>R15+SUMPRODUCT(((MAX(0,L15+AQ15+AR15-(Tables!$B$22+IF(B15&gt;=Tables!$B$27,2*Tables!$B$23,0))))&gt;Tables!$A$31:$A$37)*((MAX(0,L15+AQ15+AR15-(Tables!$B$22+IF(B15&gt;=Tables!$B$27,2*Tables!$B$23,0))))-Tables!$A$31:$A$37)*Tables!$C$31:$C$37)-O15</f>
        <v/>
      </c>
      <c r="AT15">
        <f>IF((L15+AS15)+0.5*H15&lt;=Tables!$B$24,0,IF((L15+AS15)+0.5*H15&lt;=Tables!$B$25,MIN(0.5*H15,0.5*((L15+AS15)+0.5*H15-Tables!$B$24)),MIN(0.85*H15,0.85*((L15+AS15)+0.5*H15-Tables!$B$25)+MIN(Tables!$B$26,0.5*H15))))</f>
        <v/>
      </c>
      <c r="AU15">
        <f>R15+SUMPRODUCT(((MAX(0,L15+AS15+AT15-(Tables!$B$22+IF(B15&gt;=Tables!$B$27,2*Tables!$B$23,0))))&gt;Tables!$A$31:$A$37)*((MAX(0,L15+AS15+AT15-(Tables!$B$22+IF(B15&gt;=Tables!$B$27,2*Tables!$B$23,0))))-Tables!$A$31:$A$37)*Tables!$C$31:$C$37)-O15</f>
        <v/>
      </c>
      <c r="AV15">
        <f>IF((L15+AU15)+0.5*H15&lt;=Tables!$B$24,0,IF((L15+AU15)+0.5*H15&lt;=Tables!$B$25,MIN(0.5*H15,0.5*((L15+AU15)+0.5*H15-Tables!$B$24)),MIN(0.85*H15,0.85*((L15+AU15)+0.5*H15-Tables!$B$25)+MIN(Tables!$B$26,0.5*H15))))</f>
        <v/>
      </c>
      <c r="AW15">
        <f>R15+SUMPRODUCT(((MAX(0,L15+AU15+AV15-(Tables!$B$22+IF(B15&gt;=Tables!$B$27,2*Tables!$B$23,0))))&gt;Tables!$A$31:$A$37)*((MAX(0,L15+AU15+AV15-(Tables!$B$22+IF(B15&gt;=Tables!$B$27,2*Tables!$B$23,0))))-Tables!$A$31:$A$37)*Tables!$C$31:$C$37)-O15</f>
        <v/>
      </c>
      <c r="AX15">
        <f>IF((L15+AW15)+0.5*H15&lt;=Tables!$B$24,0,IF((L15+AW15)+0.5*H15&lt;=Tables!$B$25,MIN(0.5*H15,0.5*((L15+AW15)+0.5*H15-Tables!$B$24)),MIN(0.85*H15,0.85*((L15+AW15)+0.5*H15-Tables!$B$25)+MIN(Tables!$B$26,0.5*H15))))</f>
        <v/>
      </c>
      <c r="AY15">
        <f>R15+SUMPRODUCT(((MAX(0,L15+AW15+AX15-(Tables!$B$22+IF(B15&gt;=Tables!$B$27,2*Tables!$B$23,0))))&gt;Tables!$A$31:$A$37)*((MAX(0,L15+AW15+AX15-(Tables!$B$22+IF(B15&gt;=Tables!$B$27,2*Tables!$B$23,0))))-Tables!$A$31:$A$37)*Tables!$C$31:$C$37)-O15</f>
        <v/>
      </c>
      <c r="AZ15">
        <f>IF((L15+AY15)+0.5*H15&lt;=Tables!$B$24,0,IF((L15+AY15)+0.5*H15&lt;=Tables!$B$25,MIN(0.5*H15,0.5*((L15+AY15)+0.5*H15-Tables!$B$24)),MIN(0.85*H15,0.85*((L15+AY15)+0.5*H15-Tables!$B$25)+MIN(Tables!$B$26,0.5*H15))))</f>
        <v/>
      </c>
      <c r="BA15">
        <f>R15+SUMPRODUCT(((MAX(0,L15+AY15+AZ15-(Tables!$B$22+IF(B15&gt;=Tables!$B$27,2*Tables!$B$23,0))))&gt;Tables!$A$31:$A$37)*((MAX(0,L15+AY15+AZ15-(Tables!$B$22+IF(B15&gt;=Tables!$B$27,2*Tables!$B$23,0))))-Tables!$A$31:$A$37)*Tables!$C$31:$C$37)-O15</f>
        <v/>
      </c>
      <c r="BB15">
        <f>IF((L15+BA15)+0.5*H15&lt;=Tables!$B$24,0,IF((L15+BA15)+0.5*H15&lt;=Tables!$B$25,MIN(0.5*H15,0.5*((L15+BA15)+0.5*H15-Tables!$B$24)),MIN(0.85*H15,0.85*((L15+BA15)+0.5*H15-Tables!$B$25)+MIN(Tables!$B$26,0.5*H15))))</f>
        <v/>
      </c>
      <c r="BC15">
        <f>R15+SUMPRODUCT(((MAX(0,L15+BA15+BB15-(Tables!$B$22+IF(B15&gt;=Tables!$B$27,2*Tables!$B$23,0))))&gt;Tables!$A$31:$A$37)*((MAX(0,L15+BA15+BB15-(Tables!$B$22+IF(B15&gt;=Tables!$B$27,2*Tables!$B$23,0))))-Tables!$A$31:$A$37)*Tables!$C$31:$C$37)-O15</f>
        <v/>
      </c>
      <c r="BD15">
        <f>IF((L15+BC15)+0.5*H15&lt;=Tables!$B$24,0,IF((L15+BC15)+0.5*H15&lt;=Tables!$B$25,MIN(0.5*H15,0.5*((L15+BC15)+0.5*H15-Tables!$B$24)),MIN(0.85*H15,0.85*((L15+BC15)+0.5*H15-Tables!$B$25)+MIN(Tables!$B$26,0.5*H15))))</f>
        <v/>
      </c>
      <c r="BE15">
        <f>R15+SUMPRODUCT(((MAX(0,L15+BC15+BD15-(Tables!$B$22+IF(B15&gt;=Tables!$B$27,2*Tables!$B$23,0))))&gt;Tables!$A$31:$A$37)*((MAX(0,L15+BC15+BD15-(Tables!$B$22+IF(B15&gt;=Tables!$B$27,2*Tables!$B$23,0))))-Tables!$A$31:$A$37)*Tables!$C$31:$C$37)-O15</f>
        <v/>
      </c>
      <c r="BF15">
        <f>IF((L15+BE15)+0.5*H15&lt;=Tables!$B$24,0,IF((L15+BE15)+0.5*H15&lt;=Tables!$B$25,MIN(0.5*H15,0.5*((L15+BE15)+0.5*H15-Tables!$B$24)),MIN(0.85*H15,0.85*((L15+BE15)+0.5*H15-Tables!$B$25)+MIN(Tables!$B$26,0.5*H15))))</f>
        <v/>
      </c>
      <c r="BG15">
        <f>R15+SUMPRODUCT(((MAX(0,L15+BE15+BF15-(Tables!$B$22+IF(B15&gt;=Tables!$B$27,2*Tables!$B$23,0))))&gt;Tables!$A$31:$A$37)*((MAX(0,L15+BE15+BF15-(Tables!$B$22+IF(B15&gt;=Tables!$B$27,2*Tables!$B$23,0))))-Tables!$A$31:$A$37)*Tables!$C$31:$C$37)-O15</f>
        <v/>
      </c>
      <c r="BH15">
        <f>IF((L15+BG15)+0.5*H15&lt;=Tables!$B$24,0,IF((L15+BG15)+0.5*H15&lt;=Tables!$B$25,MIN(0.5*H15,0.5*((L15+BG15)+0.5*H15-Tables!$B$24)),MIN(0.85*H15,0.85*((L15+BG15)+0.5*H15-Tables!$B$25)+MIN(Tables!$B$26,0.5*H15))))</f>
        <v/>
      </c>
      <c r="BI15">
        <f>R15+SUMPRODUCT(((MAX(0,L15+BG15+BH15-(Tables!$B$22+IF(B15&gt;=Tables!$B$27,2*Tables!$B$23,0))))&gt;Tables!$A$31:$A$37)*((MAX(0,L15+BG15+BH15-(Tables!$B$22+IF(B15&gt;=Tables!$B$27,2*Tables!$B$23,0))))-Tables!$A$31:$A$37)*Tables!$C$31:$C$37)-O15</f>
        <v/>
      </c>
      <c r="BJ15">
        <f>IF((L15+BI15)+0.5*H15&lt;=Tables!$B$24,0,IF((L15+BI15)+0.5*H15&lt;=Tables!$B$25,MIN(0.5*H15,0.5*((L15+BI15)+0.5*H15-Tables!$B$24)),MIN(0.85*H15,0.85*((L15+BI15)+0.5*H15-Tables!$B$25)+MIN(Tables!$B$26,0.5*H15))))</f>
        <v/>
      </c>
      <c r="BK15">
        <f>R15+SUMPRODUCT(((MAX(0,L15+BI15+BJ15-(Tables!$B$22+IF(B15&gt;=Tables!$B$27,2*Tables!$B$23,0))))&gt;Tables!$A$31:$A$37)*((MAX(0,L15+BI15+BJ15-(Tables!$B$22+IF(B15&gt;=Tables!$B$27,2*Tables!$B$23,0))))-Tables!$A$31:$A$37)*Tables!$C$31:$C$37)-O15</f>
        <v/>
      </c>
      <c r="BL15">
        <f>IF((L15+BK15)+0.5*H15&lt;=Tables!$B$24,0,IF((L15+BK15)+0.5*H15&lt;=Tables!$B$25,MIN(0.5*H15,0.5*((L15+BK15)+0.5*H15-Tables!$B$24)),MIN(0.85*H15,0.85*((L15+BK15)+0.5*H15-Tables!$B$25)+MIN(Tables!$B$26,0.5*H15))))</f>
        <v/>
      </c>
      <c r="BM15">
        <f>R15+SUMPRODUCT(((MAX(0,L15+BK15+BL15-(Tables!$B$22+IF(B15&gt;=Tables!$B$27,2*Tables!$B$23,0))))&gt;Tables!$A$31:$A$37)*((MAX(0,L15+BK15+BL15-(Tables!$B$22+IF(B15&gt;=Tables!$B$27,2*Tables!$B$23,0))))-Tables!$A$31:$A$37)*Tables!$C$31:$C$37)-O15</f>
        <v/>
      </c>
      <c r="BN15">
        <f>IF((L15+BM15)+0.5*H15&lt;=Tables!$B$24,0,IF((L15+BM15)+0.5*H15&lt;=Tables!$B$25,MIN(0.5*H15,0.5*((L15+BM15)+0.5*H15-Tables!$B$24)),MIN(0.85*H15,0.85*((L15+BM15)+0.5*H15-Tables!$B$25)+MIN(Tables!$B$26,0.5*H15))))</f>
        <v/>
      </c>
      <c r="BO15">
        <f>R15+SUMPRODUCT(((MAX(0,L15+BM15+BN15-(Tables!$B$22+IF(B15&gt;=Tables!$B$27,2*Tables!$B$23,0))))&gt;Tables!$A$31:$A$37)*((MAX(0,L15+BM15+BN15-(Tables!$B$22+IF(B15&gt;=Tables!$B$27,2*Tables!$B$23,0))))-Tables!$A$31:$A$37)*Tables!$C$31:$C$37)-O15</f>
        <v/>
      </c>
      <c r="BP15">
        <f>MIN(BO15,S15)</f>
        <v/>
      </c>
      <c r="BQ15">
        <f>L15+BP15</f>
        <v/>
      </c>
      <c r="BR15">
        <f>IF(BQ15+0.5*H15&lt;=Tables!$B$24,0,IF(BQ15+0.5*H15&lt;=Tables!$B$25,MIN(0.5*H15,0.5*(BQ15+0.5*H15-Tables!$B$24)),MIN(0.85*H15,0.85*(BQ15+0.5*H15-Tables!$B$25)+MIN(Tables!$B$26,0.5*H15))))</f>
        <v/>
      </c>
      <c r="BS15">
        <f>MAX(0,BQ15+BR15-(Tables!$B$22+IF(B15&gt;=Tables!$B$27,2*Tables!$B$23,0)))</f>
        <v/>
      </c>
      <c r="BT15">
        <f>SUMPRODUCT(((BS15)&gt;Tables!$A$31:$A$37)*((BS15)-Tables!$A$31:$A$37)*Tables!$C$31:$C$37)</f>
        <v/>
      </c>
      <c r="BU15">
        <f>MAX(0,G15-(H15+BQ15+Q15-BT15))</f>
        <v/>
      </c>
      <c r="BV15">
        <f>MIN(J15,BU15)</f>
        <v/>
      </c>
      <c r="BW15">
        <f>H15+BQ15+Q15+BV15</f>
        <v/>
      </c>
      <c r="BX15">
        <f>MAX(0,BW15-G15-BT15)</f>
        <v/>
      </c>
      <c r="BY15">
        <f>MAX(0,G15+BT15-BW15)</f>
        <v/>
      </c>
      <c r="BZ15">
        <f>IF(C15=0,0,MAX(0,I15-BQ15)*(1+D15))</f>
        <v/>
      </c>
      <c r="CA15">
        <f>IF(C15=0,0,MAX(0,J15-BV15)*(1+D15))</f>
        <v/>
      </c>
      <c r="CB15">
        <f>IF(C15=0,0,MAX(0,K15-Q15+BX15)*(1+D15))</f>
        <v/>
      </c>
      <c r="CC15">
        <f>IF(C15=0,CC14,BZ15+CA15+CB15)</f>
        <v/>
      </c>
      <c r="CD15">
        <f>IF(C15=0,9999,IF(OR(BY15&gt;0.0001,CC15&lt;=0.0001),B15,9999))</f>
        <v/>
      </c>
    </row>
    <row r="16">
      <c r="A16" t="n">
        <v>14</v>
      </c>
      <c r="B16">
        <f>Tables!$B$13+A16</f>
        <v/>
      </c>
      <c r="C16">
        <f>IF(B16&lt;=Tables!$B$18,1,0)</f>
        <v/>
      </c>
      <c r="D16">
        <f>INDEX(Tables!$B$83:$B$123,A16+1)</f>
        <v/>
      </c>
      <c r="E16">
        <f>IF(A16=0,0,INDEX(Tables!$B$83:$B$123,A16))</f>
        <v/>
      </c>
      <c r="F16">
        <f>IF(AND(C16=1,Tables!$B$17="YES",A16&gt;0,E16&lt;Tables!$B$16),Tables!$B$15,0)</f>
        <v/>
      </c>
      <c r="G16">
        <f>IF(C16=0,0,Tables!$B$8-IF(B16&gt;=Tables!$B$7,Tables!$B$6,0)+IF(B16&lt;Tables!$B$27,Tables!$B$9,Tables!$B$10)-F16)</f>
        <v/>
      </c>
      <c r="H16">
        <f>IF(C16=0,0,IF(B16&gt;=Tables!$B$78,Tables!$D$78,0)+IF(B16&gt;=Tables!$C$78,Tables!$E$78,0))</f>
        <v/>
      </c>
      <c r="I16">
        <f>IF(C16=0,0,BZ15)</f>
        <v/>
      </c>
      <c r="J16">
        <f>IF(C16=0,0,CA15)</f>
        <v/>
      </c>
      <c r="K16">
        <f>IF(C16=0,0,CB15)</f>
        <v/>
      </c>
      <c r="L16">
        <f>IF(C16=0,0,IF(B16&gt;=Tables!$B$19,MIN(I16,I16/VLOOKUP(B16,Tables!$A$41:$B$61,2,FALSE)),0))</f>
        <v/>
      </c>
      <c r="M16">
        <f>IF(L16+0.5*H16&lt;=Tables!$B$24,0,IF(L16+0.5*H16&lt;=Tables!$B$25,MIN(0.5*H16,0.5*(L16+0.5*H16-Tables!$B$24)),MIN(0.85*H16,0.85*(L16+0.5*H16-Tables!$B$25)+MIN(Tables!$B$26,0.5*H16))))</f>
        <v/>
      </c>
      <c r="N16">
        <f>MAX(0,L16+M16-(Tables!$B$22+IF(B16&gt;=Tables!$B$27,2*Tables!$B$23,0)))</f>
        <v/>
      </c>
      <c r="O16">
        <f>SUMPRODUCT(((N16)&gt;Tables!$A$31:$A$37)*((N16)-Tables!$A$31:$A$37)*Tables!$C$31:$C$37)</f>
        <v/>
      </c>
      <c r="P16">
        <f>G16-(H16+L16-O16)</f>
        <v/>
      </c>
      <c r="Q16">
        <f>MIN(K16,MAX(0,P16))</f>
        <v/>
      </c>
      <c r="R16">
        <f>MAX(0,P16-Q16)</f>
        <v/>
      </c>
      <c r="S16">
        <f>MAX(0,I16-L16)</f>
        <v/>
      </c>
      <c r="T16">
        <f>IF((L16+R16)+0.5*H16&lt;=Tables!$B$24,0,IF((L16+R16)+0.5*H16&lt;=Tables!$B$25,MIN(0.5*H16,0.5*((L16+R16)+0.5*H16-Tables!$B$24)),MIN(0.85*H16,0.85*((L16+R16)+0.5*H16-Tables!$B$25)+MIN(Tables!$B$26,0.5*H16))))</f>
        <v/>
      </c>
      <c r="U16">
        <f>R16+SUMPRODUCT(((MAX(0,L16+R16+T16-(Tables!$B$22+IF(B16&gt;=Tables!$B$27,2*Tables!$B$23,0))))&gt;Tables!$A$31:$A$37)*((MAX(0,L16+R16+T16-(Tables!$B$22+IF(B16&gt;=Tables!$B$27,2*Tables!$B$23,0))))-Tables!$A$31:$A$37)*Tables!$C$31:$C$37)-O16</f>
        <v/>
      </c>
      <c r="V16">
        <f>IF((L16+U16)+0.5*H16&lt;=Tables!$B$24,0,IF((L16+U16)+0.5*H16&lt;=Tables!$B$25,MIN(0.5*H16,0.5*((L16+U16)+0.5*H16-Tables!$B$24)),MIN(0.85*H16,0.85*((L16+U16)+0.5*H16-Tables!$B$25)+MIN(Tables!$B$26,0.5*H16))))</f>
        <v/>
      </c>
      <c r="W16">
        <f>R16+SUMPRODUCT(((MAX(0,L16+U16+V16-(Tables!$B$22+IF(B16&gt;=Tables!$B$27,2*Tables!$B$23,0))))&gt;Tables!$A$31:$A$37)*((MAX(0,L16+U16+V16-(Tables!$B$22+IF(B16&gt;=Tables!$B$27,2*Tables!$B$23,0))))-Tables!$A$31:$A$37)*Tables!$C$31:$C$37)-O16</f>
        <v/>
      </c>
      <c r="X16">
        <f>IF((L16+W16)+0.5*H16&lt;=Tables!$B$24,0,IF((L16+W16)+0.5*H16&lt;=Tables!$B$25,MIN(0.5*H16,0.5*((L16+W16)+0.5*H16-Tables!$B$24)),MIN(0.85*H16,0.85*((L16+W16)+0.5*H16-Tables!$B$25)+MIN(Tables!$B$26,0.5*H16))))</f>
        <v/>
      </c>
      <c r="Y16">
        <f>R16+SUMPRODUCT(((MAX(0,L16+W16+X16-(Tables!$B$22+IF(B16&gt;=Tables!$B$27,2*Tables!$B$23,0))))&gt;Tables!$A$31:$A$37)*((MAX(0,L16+W16+X16-(Tables!$B$22+IF(B16&gt;=Tables!$B$27,2*Tables!$B$23,0))))-Tables!$A$31:$A$37)*Tables!$C$31:$C$37)-O16</f>
        <v/>
      </c>
      <c r="Z16">
        <f>IF((L16+Y16)+0.5*H16&lt;=Tables!$B$24,0,IF((L16+Y16)+0.5*H16&lt;=Tables!$B$25,MIN(0.5*H16,0.5*((L16+Y16)+0.5*H16-Tables!$B$24)),MIN(0.85*H16,0.85*((L16+Y16)+0.5*H16-Tables!$B$25)+MIN(Tables!$B$26,0.5*H16))))</f>
        <v/>
      </c>
      <c r="AA16">
        <f>R16+SUMPRODUCT(((MAX(0,L16+Y16+Z16-(Tables!$B$22+IF(B16&gt;=Tables!$B$27,2*Tables!$B$23,0))))&gt;Tables!$A$31:$A$37)*((MAX(0,L16+Y16+Z16-(Tables!$B$22+IF(B16&gt;=Tables!$B$27,2*Tables!$B$23,0))))-Tables!$A$31:$A$37)*Tables!$C$31:$C$37)-O16</f>
        <v/>
      </c>
      <c r="AB16">
        <f>IF((L16+AA16)+0.5*H16&lt;=Tables!$B$24,0,IF((L16+AA16)+0.5*H16&lt;=Tables!$B$25,MIN(0.5*H16,0.5*((L16+AA16)+0.5*H16-Tables!$B$24)),MIN(0.85*H16,0.85*((L16+AA16)+0.5*H16-Tables!$B$25)+MIN(Tables!$B$26,0.5*H16))))</f>
        <v/>
      </c>
      <c r="AC16">
        <f>R16+SUMPRODUCT(((MAX(0,L16+AA16+AB16-(Tables!$B$22+IF(B16&gt;=Tables!$B$27,2*Tables!$B$23,0))))&gt;Tables!$A$31:$A$37)*((MAX(0,L16+AA16+AB16-(Tables!$B$22+IF(B16&gt;=Tables!$B$27,2*Tables!$B$23,0))))-Tables!$A$31:$A$37)*Tables!$C$31:$C$37)-O16</f>
        <v/>
      </c>
      <c r="AD16">
        <f>IF((L16+AC16)+0.5*H16&lt;=Tables!$B$24,0,IF((L16+AC16)+0.5*H16&lt;=Tables!$B$25,MIN(0.5*H16,0.5*((L16+AC16)+0.5*H16-Tables!$B$24)),MIN(0.85*H16,0.85*((L16+AC16)+0.5*H16-Tables!$B$25)+MIN(Tables!$B$26,0.5*H16))))</f>
        <v/>
      </c>
      <c r="AE16">
        <f>R16+SUMPRODUCT(((MAX(0,L16+AC16+AD16-(Tables!$B$22+IF(B16&gt;=Tables!$B$27,2*Tables!$B$23,0))))&gt;Tables!$A$31:$A$37)*((MAX(0,L16+AC16+AD16-(Tables!$B$22+IF(B16&gt;=Tables!$B$27,2*Tables!$B$23,0))))-Tables!$A$31:$A$37)*Tables!$C$31:$C$37)-O16</f>
        <v/>
      </c>
      <c r="AF16">
        <f>IF((L16+AE16)+0.5*H16&lt;=Tables!$B$24,0,IF((L16+AE16)+0.5*H16&lt;=Tables!$B$25,MIN(0.5*H16,0.5*((L16+AE16)+0.5*H16-Tables!$B$24)),MIN(0.85*H16,0.85*((L16+AE16)+0.5*H16-Tables!$B$25)+MIN(Tables!$B$26,0.5*H16))))</f>
        <v/>
      </c>
      <c r="AG16">
        <f>R16+SUMPRODUCT(((MAX(0,L16+AE16+AF16-(Tables!$B$22+IF(B16&gt;=Tables!$B$27,2*Tables!$B$23,0))))&gt;Tables!$A$31:$A$37)*((MAX(0,L16+AE16+AF16-(Tables!$B$22+IF(B16&gt;=Tables!$B$27,2*Tables!$B$23,0))))-Tables!$A$31:$A$37)*Tables!$C$31:$C$37)-O16</f>
        <v/>
      </c>
      <c r="AH16">
        <f>IF((L16+AG16)+0.5*H16&lt;=Tables!$B$24,0,IF((L16+AG16)+0.5*H16&lt;=Tables!$B$25,MIN(0.5*H16,0.5*((L16+AG16)+0.5*H16-Tables!$B$24)),MIN(0.85*H16,0.85*((L16+AG16)+0.5*H16-Tables!$B$25)+MIN(Tables!$B$26,0.5*H16))))</f>
        <v/>
      </c>
      <c r="AI16">
        <f>R16+SUMPRODUCT(((MAX(0,L16+AG16+AH16-(Tables!$B$22+IF(B16&gt;=Tables!$B$27,2*Tables!$B$23,0))))&gt;Tables!$A$31:$A$37)*((MAX(0,L16+AG16+AH16-(Tables!$B$22+IF(B16&gt;=Tables!$B$27,2*Tables!$B$23,0))))-Tables!$A$31:$A$37)*Tables!$C$31:$C$37)-O16</f>
        <v/>
      </c>
      <c r="AJ16">
        <f>IF((L16+AI16)+0.5*H16&lt;=Tables!$B$24,0,IF((L16+AI16)+0.5*H16&lt;=Tables!$B$25,MIN(0.5*H16,0.5*((L16+AI16)+0.5*H16-Tables!$B$24)),MIN(0.85*H16,0.85*((L16+AI16)+0.5*H16-Tables!$B$25)+MIN(Tables!$B$26,0.5*H16))))</f>
        <v/>
      </c>
      <c r="AK16">
        <f>R16+SUMPRODUCT(((MAX(0,L16+AI16+AJ16-(Tables!$B$22+IF(B16&gt;=Tables!$B$27,2*Tables!$B$23,0))))&gt;Tables!$A$31:$A$37)*((MAX(0,L16+AI16+AJ16-(Tables!$B$22+IF(B16&gt;=Tables!$B$27,2*Tables!$B$23,0))))-Tables!$A$31:$A$37)*Tables!$C$31:$C$37)-O16</f>
        <v/>
      </c>
      <c r="AL16">
        <f>IF((L16+AK16)+0.5*H16&lt;=Tables!$B$24,0,IF((L16+AK16)+0.5*H16&lt;=Tables!$B$25,MIN(0.5*H16,0.5*((L16+AK16)+0.5*H16-Tables!$B$24)),MIN(0.85*H16,0.85*((L16+AK16)+0.5*H16-Tables!$B$25)+MIN(Tables!$B$26,0.5*H16))))</f>
        <v/>
      </c>
      <c r="AM16">
        <f>R16+SUMPRODUCT(((MAX(0,L16+AK16+AL16-(Tables!$B$22+IF(B16&gt;=Tables!$B$27,2*Tables!$B$23,0))))&gt;Tables!$A$31:$A$37)*((MAX(0,L16+AK16+AL16-(Tables!$B$22+IF(B16&gt;=Tables!$B$27,2*Tables!$B$23,0))))-Tables!$A$31:$A$37)*Tables!$C$31:$C$37)-O16</f>
        <v/>
      </c>
      <c r="AN16">
        <f>IF((L16+AM16)+0.5*H16&lt;=Tables!$B$24,0,IF((L16+AM16)+0.5*H16&lt;=Tables!$B$25,MIN(0.5*H16,0.5*((L16+AM16)+0.5*H16-Tables!$B$24)),MIN(0.85*H16,0.85*((L16+AM16)+0.5*H16-Tables!$B$25)+MIN(Tables!$B$26,0.5*H16))))</f>
        <v/>
      </c>
      <c r="AO16">
        <f>R16+SUMPRODUCT(((MAX(0,L16+AM16+AN16-(Tables!$B$22+IF(B16&gt;=Tables!$B$27,2*Tables!$B$23,0))))&gt;Tables!$A$31:$A$37)*((MAX(0,L16+AM16+AN16-(Tables!$B$22+IF(B16&gt;=Tables!$B$27,2*Tables!$B$23,0))))-Tables!$A$31:$A$37)*Tables!$C$31:$C$37)-O16</f>
        <v/>
      </c>
      <c r="AP16">
        <f>IF((L16+AO16)+0.5*H16&lt;=Tables!$B$24,0,IF((L16+AO16)+0.5*H16&lt;=Tables!$B$25,MIN(0.5*H16,0.5*((L16+AO16)+0.5*H16-Tables!$B$24)),MIN(0.85*H16,0.85*((L16+AO16)+0.5*H16-Tables!$B$25)+MIN(Tables!$B$26,0.5*H16))))</f>
        <v/>
      </c>
      <c r="AQ16">
        <f>R16+SUMPRODUCT(((MAX(0,L16+AO16+AP16-(Tables!$B$22+IF(B16&gt;=Tables!$B$27,2*Tables!$B$23,0))))&gt;Tables!$A$31:$A$37)*((MAX(0,L16+AO16+AP16-(Tables!$B$22+IF(B16&gt;=Tables!$B$27,2*Tables!$B$23,0))))-Tables!$A$31:$A$37)*Tables!$C$31:$C$37)-O16</f>
        <v/>
      </c>
      <c r="AR16">
        <f>IF((L16+AQ16)+0.5*H16&lt;=Tables!$B$24,0,IF((L16+AQ16)+0.5*H16&lt;=Tables!$B$25,MIN(0.5*H16,0.5*((L16+AQ16)+0.5*H16-Tables!$B$24)),MIN(0.85*H16,0.85*((L16+AQ16)+0.5*H16-Tables!$B$25)+MIN(Tables!$B$26,0.5*H16))))</f>
        <v/>
      </c>
      <c r="AS16">
        <f>R16+SUMPRODUCT(((MAX(0,L16+AQ16+AR16-(Tables!$B$22+IF(B16&gt;=Tables!$B$27,2*Tables!$B$23,0))))&gt;Tables!$A$31:$A$37)*((MAX(0,L16+AQ16+AR16-(Tables!$B$22+IF(B16&gt;=Tables!$B$27,2*Tables!$B$23,0))))-Tables!$A$31:$A$37)*Tables!$C$31:$C$37)-O16</f>
        <v/>
      </c>
      <c r="AT16">
        <f>IF((L16+AS16)+0.5*H16&lt;=Tables!$B$24,0,IF((L16+AS16)+0.5*H16&lt;=Tables!$B$25,MIN(0.5*H16,0.5*((L16+AS16)+0.5*H16-Tables!$B$24)),MIN(0.85*H16,0.85*((L16+AS16)+0.5*H16-Tables!$B$25)+MIN(Tables!$B$26,0.5*H16))))</f>
        <v/>
      </c>
      <c r="AU16">
        <f>R16+SUMPRODUCT(((MAX(0,L16+AS16+AT16-(Tables!$B$22+IF(B16&gt;=Tables!$B$27,2*Tables!$B$23,0))))&gt;Tables!$A$31:$A$37)*((MAX(0,L16+AS16+AT16-(Tables!$B$22+IF(B16&gt;=Tables!$B$27,2*Tables!$B$23,0))))-Tables!$A$31:$A$37)*Tables!$C$31:$C$37)-O16</f>
        <v/>
      </c>
      <c r="AV16">
        <f>IF((L16+AU16)+0.5*H16&lt;=Tables!$B$24,0,IF((L16+AU16)+0.5*H16&lt;=Tables!$B$25,MIN(0.5*H16,0.5*((L16+AU16)+0.5*H16-Tables!$B$24)),MIN(0.85*H16,0.85*((L16+AU16)+0.5*H16-Tables!$B$25)+MIN(Tables!$B$26,0.5*H16))))</f>
        <v/>
      </c>
      <c r="AW16">
        <f>R16+SUMPRODUCT(((MAX(0,L16+AU16+AV16-(Tables!$B$22+IF(B16&gt;=Tables!$B$27,2*Tables!$B$23,0))))&gt;Tables!$A$31:$A$37)*((MAX(0,L16+AU16+AV16-(Tables!$B$22+IF(B16&gt;=Tables!$B$27,2*Tables!$B$23,0))))-Tables!$A$31:$A$37)*Tables!$C$31:$C$37)-O16</f>
        <v/>
      </c>
      <c r="AX16">
        <f>IF((L16+AW16)+0.5*H16&lt;=Tables!$B$24,0,IF((L16+AW16)+0.5*H16&lt;=Tables!$B$25,MIN(0.5*H16,0.5*((L16+AW16)+0.5*H16-Tables!$B$24)),MIN(0.85*H16,0.85*((L16+AW16)+0.5*H16-Tables!$B$25)+MIN(Tables!$B$26,0.5*H16))))</f>
        <v/>
      </c>
      <c r="AY16">
        <f>R16+SUMPRODUCT(((MAX(0,L16+AW16+AX16-(Tables!$B$22+IF(B16&gt;=Tables!$B$27,2*Tables!$B$23,0))))&gt;Tables!$A$31:$A$37)*((MAX(0,L16+AW16+AX16-(Tables!$B$22+IF(B16&gt;=Tables!$B$27,2*Tables!$B$23,0))))-Tables!$A$31:$A$37)*Tables!$C$31:$C$37)-O16</f>
        <v/>
      </c>
      <c r="AZ16">
        <f>IF((L16+AY16)+0.5*H16&lt;=Tables!$B$24,0,IF((L16+AY16)+0.5*H16&lt;=Tables!$B$25,MIN(0.5*H16,0.5*((L16+AY16)+0.5*H16-Tables!$B$24)),MIN(0.85*H16,0.85*((L16+AY16)+0.5*H16-Tables!$B$25)+MIN(Tables!$B$26,0.5*H16))))</f>
        <v/>
      </c>
      <c r="BA16">
        <f>R16+SUMPRODUCT(((MAX(0,L16+AY16+AZ16-(Tables!$B$22+IF(B16&gt;=Tables!$B$27,2*Tables!$B$23,0))))&gt;Tables!$A$31:$A$37)*((MAX(0,L16+AY16+AZ16-(Tables!$B$22+IF(B16&gt;=Tables!$B$27,2*Tables!$B$23,0))))-Tables!$A$31:$A$37)*Tables!$C$31:$C$37)-O16</f>
        <v/>
      </c>
      <c r="BB16">
        <f>IF((L16+BA16)+0.5*H16&lt;=Tables!$B$24,0,IF((L16+BA16)+0.5*H16&lt;=Tables!$B$25,MIN(0.5*H16,0.5*((L16+BA16)+0.5*H16-Tables!$B$24)),MIN(0.85*H16,0.85*((L16+BA16)+0.5*H16-Tables!$B$25)+MIN(Tables!$B$26,0.5*H16))))</f>
        <v/>
      </c>
      <c r="BC16">
        <f>R16+SUMPRODUCT(((MAX(0,L16+BA16+BB16-(Tables!$B$22+IF(B16&gt;=Tables!$B$27,2*Tables!$B$23,0))))&gt;Tables!$A$31:$A$37)*((MAX(0,L16+BA16+BB16-(Tables!$B$22+IF(B16&gt;=Tables!$B$27,2*Tables!$B$23,0))))-Tables!$A$31:$A$37)*Tables!$C$31:$C$37)-O16</f>
        <v/>
      </c>
      <c r="BD16">
        <f>IF((L16+BC16)+0.5*H16&lt;=Tables!$B$24,0,IF((L16+BC16)+0.5*H16&lt;=Tables!$B$25,MIN(0.5*H16,0.5*((L16+BC16)+0.5*H16-Tables!$B$24)),MIN(0.85*H16,0.85*((L16+BC16)+0.5*H16-Tables!$B$25)+MIN(Tables!$B$26,0.5*H16))))</f>
        <v/>
      </c>
      <c r="BE16">
        <f>R16+SUMPRODUCT(((MAX(0,L16+BC16+BD16-(Tables!$B$22+IF(B16&gt;=Tables!$B$27,2*Tables!$B$23,0))))&gt;Tables!$A$31:$A$37)*((MAX(0,L16+BC16+BD16-(Tables!$B$22+IF(B16&gt;=Tables!$B$27,2*Tables!$B$23,0))))-Tables!$A$31:$A$37)*Tables!$C$31:$C$37)-O16</f>
        <v/>
      </c>
      <c r="BF16">
        <f>IF((L16+BE16)+0.5*H16&lt;=Tables!$B$24,0,IF((L16+BE16)+0.5*H16&lt;=Tables!$B$25,MIN(0.5*H16,0.5*((L16+BE16)+0.5*H16-Tables!$B$24)),MIN(0.85*H16,0.85*((L16+BE16)+0.5*H16-Tables!$B$25)+MIN(Tables!$B$26,0.5*H16))))</f>
        <v/>
      </c>
      <c r="BG16">
        <f>R16+SUMPRODUCT(((MAX(0,L16+BE16+BF16-(Tables!$B$22+IF(B16&gt;=Tables!$B$27,2*Tables!$B$23,0))))&gt;Tables!$A$31:$A$37)*((MAX(0,L16+BE16+BF16-(Tables!$B$22+IF(B16&gt;=Tables!$B$27,2*Tables!$B$23,0))))-Tables!$A$31:$A$37)*Tables!$C$31:$C$37)-O16</f>
        <v/>
      </c>
      <c r="BH16">
        <f>IF((L16+BG16)+0.5*H16&lt;=Tables!$B$24,0,IF((L16+BG16)+0.5*H16&lt;=Tables!$B$25,MIN(0.5*H16,0.5*((L16+BG16)+0.5*H16-Tables!$B$24)),MIN(0.85*H16,0.85*((L16+BG16)+0.5*H16-Tables!$B$25)+MIN(Tables!$B$26,0.5*H16))))</f>
        <v/>
      </c>
      <c r="BI16">
        <f>R16+SUMPRODUCT(((MAX(0,L16+BG16+BH16-(Tables!$B$22+IF(B16&gt;=Tables!$B$27,2*Tables!$B$23,0))))&gt;Tables!$A$31:$A$37)*((MAX(0,L16+BG16+BH16-(Tables!$B$22+IF(B16&gt;=Tables!$B$27,2*Tables!$B$23,0))))-Tables!$A$31:$A$37)*Tables!$C$31:$C$37)-O16</f>
        <v/>
      </c>
      <c r="BJ16">
        <f>IF((L16+BI16)+0.5*H16&lt;=Tables!$B$24,0,IF((L16+BI16)+0.5*H16&lt;=Tables!$B$25,MIN(0.5*H16,0.5*((L16+BI16)+0.5*H16-Tables!$B$24)),MIN(0.85*H16,0.85*((L16+BI16)+0.5*H16-Tables!$B$25)+MIN(Tables!$B$26,0.5*H16))))</f>
        <v/>
      </c>
      <c r="BK16">
        <f>R16+SUMPRODUCT(((MAX(0,L16+BI16+BJ16-(Tables!$B$22+IF(B16&gt;=Tables!$B$27,2*Tables!$B$23,0))))&gt;Tables!$A$31:$A$37)*((MAX(0,L16+BI16+BJ16-(Tables!$B$22+IF(B16&gt;=Tables!$B$27,2*Tables!$B$23,0))))-Tables!$A$31:$A$37)*Tables!$C$31:$C$37)-O16</f>
        <v/>
      </c>
      <c r="BL16">
        <f>IF((L16+BK16)+0.5*H16&lt;=Tables!$B$24,0,IF((L16+BK16)+0.5*H16&lt;=Tables!$B$25,MIN(0.5*H16,0.5*((L16+BK16)+0.5*H16-Tables!$B$24)),MIN(0.85*H16,0.85*((L16+BK16)+0.5*H16-Tables!$B$25)+MIN(Tables!$B$26,0.5*H16))))</f>
        <v/>
      </c>
      <c r="BM16">
        <f>R16+SUMPRODUCT(((MAX(0,L16+BK16+BL16-(Tables!$B$22+IF(B16&gt;=Tables!$B$27,2*Tables!$B$23,0))))&gt;Tables!$A$31:$A$37)*((MAX(0,L16+BK16+BL16-(Tables!$B$22+IF(B16&gt;=Tables!$B$27,2*Tables!$B$23,0))))-Tables!$A$31:$A$37)*Tables!$C$31:$C$37)-O16</f>
        <v/>
      </c>
      <c r="BN16">
        <f>IF((L16+BM16)+0.5*H16&lt;=Tables!$B$24,0,IF((L16+BM16)+0.5*H16&lt;=Tables!$B$25,MIN(0.5*H16,0.5*((L16+BM16)+0.5*H16-Tables!$B$24)),MIN(0.85*H16,0.85*((L16+BM16)+0.5*H16-Tables!$B$25)+MIN(Tables!$B$26,0.5*H16))))</f>
        <v/>
      </c>
      <c r="BO16">
        <f>R16+SUMPRODUCT(((MAX(0,L16+BM16+BN16-(Tables!$B$22+IF(B16&gt;=Tables!$B$27,2*Tables!$B$23,0))))&gt;Tables!$A$31:$A$37)*((MAX(0,L16+BM16+BN16-(Tables!$B$22+IF(B16&gt;=Tables!$B$27,2*Tables!$B$23,0))))-Tables!$A$31:$A$37)*Tables!$C$31:$C$37)-O16</f>
        <v/>
      </c>
      <c r="BP16">
        <f>MIN(BO16,S16)</f>
        <v/>
      </c>
      <c r="BQ16">
        <f>L16+BP16</f>
        <v/>
      </c>
      <c r="BR16">
        <f>IF(BQ16+0.5*H16&lt;=Tables!$B$24,0,IF(BQ16+0.5*H16&lt;=Tables!$B$25,MIN(0.5*H16,0.5*(BQ16+0.5*H16-Tables!$B$24)),MIN(0.85*H16,0.85*(BQ16+0.5*H16-Tables!$B$25)+MIN(Tables!$B$26,0.5*H16))))</f>
        <v/>
      </c>
      <c r="BS16">
        <f>MAX(0,BQ16+BR16-(Tables!$B$22+IF(B16&gt;=Tables!$B$27,2*Tables!$B$23,0)))</f>
        <v/>
      </c>
      <c r="BT16">
        <f>SUMPRODUCT(((BS16)&gt;Tables!$A$31:$A$37)*((BS16)-Tables!$A$31:$A$37)*Tables!$C$31:$C$37)</f>
        <v/>
      </c>
      <c r="BU16">
        <f>MAX(0,G16-(H16+BQ16+Q16-BT16))</f>
        <v/>
      </c>
      <c r="BV16">
        <f>MIN(J16,BU16)</f>
        <v/>
      </c>
      <c r="BW16">
        <f>H16+BQ16+Q16+BV16</f>
        <v/>
      </c>
      <c r="BX16">
        <f>MAX(0,BW16-G16-BT16)</f>
        <v/>
      </c>
      <c r="BY16">
        <f>MAX(0,G16+BT16-BW16)</f>
        <v/>
      </c>
      <c r="BZ16">
        <f>IF(C16=0,0,MAX(0,I16-BQ16)*(1+D16))</f>
        <v/>
      </c>
      <c r="CA16">
        <f>IF(C16=0,0,MAX(0,J16-BV16)*(1+D16))</f>
        <v/>
      </c>
      <c r="CB16">
        <f>IF(C16=0,0,MAX(0,K16-Q16+BX16)*(1+D16))</f>
        <v/>
      </c>
      <c r="CC16">
        <f>IF(C16=0,CC15,BZ16+CA16+CB16)</f>
        <v/>
      </c>
      <c r="CD16">
        <f>IF(C16=0,9999,IF(OR(BY16&gt;0.0001,CC16&lt;=0.0001),B16,9999))</f>
        <v/>
      </c>
    </row>
    <row r="17">
      <c r="A17" t="n">
        <v>15</v>
      </c>
      <c r="B17">
        <f>Tables!$B$13+A17</f>
        <v/>
      </c>
      <c r="C17">
        <f>IF(B17&lt;=Tables!$B$18,1,0)</f>
        <v/>
      </c>
      <c r="D17">
        <f>INDEX(Tables!$B$83:$B$123,A17+1)</f>
        <v/>
      </c>
      <c r="E17">
        <f>IF(A17=0,0,INDEX(Tables!$B$83:$B$123,A17))</f>
        <v/>
      </c>
      <c r="F17">
        <f>IF(AND(C17=1,Tables!$B$17="YES",A17&gt;0,E17&lt;Tables!$B$16),Tables!$B$15,0)</f>
        <v/>
      </c>
      <c r="G17">
        <f>IF(C17=0,0,Tables!$B$8-IF(B17&gt;=Tables!$B$7,Tables!$B$6,0)+IF(B17&lt;Tables!$B$27,Tables!$B$9,Tables!$B$10)-F17)</f>
        <v/>
      </c>
      <c r="H17">
        <f>IF(C17=0,0,IF(B17&gt;=Tables!$B$78,Tables!$D$78,0)+IF(B17&gt;=Tables!$C$78,Tables!$E$78,0))</f>
        <v/>
      </c>
      <c r="I17">
        <f>IF(C17=0,0,BZ16)</f>
        <v/>
      </c>
      <c r="J17">
        <f>IF(C17=0,0,CA16)</f>
        <v/>
      </c>
      <c r="K17">
        <f>IF(C17=0,0,CB16)</f>
        <v/>
      </c>
      <c r="L17">
        <f>IF(C17=0,0,IF(B17&gt;=Tables!$B$19,MIN(I17,I17/VLOOKUP(B17,Tables!$A$41:$B$61,2,FALSE)),0))</f>
        <v/>
      </c>
      <c r="M17">
        <f>IF(L17+0.5*H17&lt;=Tables!$B$24,0,IF(L17+0.5*H17&lt;=Tables!$B$25,MIN(0.5*H17,0.5*(L17+0.5*H17-Tables!$B$24)),MIN(0.85*H17,0.85*(L17+0.5*H17-Tables!$B$25)+MIN(Tables!$B$26,0.5*H17))))</f>
        <v/>
      </c>
      <c r="N17">
        <f>MAX(0,L17+M17-(Tables!$B$22+IF(B17&gt;=Tables!$B$27,2*Tables!$B$23,0)))</f>
        <v/>
      </c>
      <c r="O17">
        <f>SUMPRODUCT(((N17)&gt;Tables!$A$31:$A$37)*((N17)-Tables!$A$31:$A$37)*Tables!$C$31:$C$37)</f>
        <v/>
      </c>
      <c r="P17">
        <f>G17-(H17+L17-O17)</f>
        <v/>
      </c>
      <c r="Q17">
        <f>MIN(K17,MAX(0,P17))</f>
        <v/>
      </c>
      <c r="R17">
        <f>MAX(0,P17-Q17)</f>
        <v/>
      </c>
      <c r="S17">
        <f>MAX(0,I17-L17)</f>
        <v/>
      </c>
      <c r="T17">
        <f>IF((L17+R17)+0.5*H17&lt;=Tables!$B$24,0,IF((L17+R17)+0.5*H17&lt;=Tables!$B$25,MIN(0.5*H17,0.5*((L17+R17)+0.5*H17-Tables!$B$24)),MIN(0.85*H17,0.85*((L17+R17)+0.5*H17-Tables!$B$25)+MIN(Tables!$B$26,0.5*H17))))</f>
        <v/>
      </c>
      <c r="U17">
        <f>R17+SUMPRODUCT(((MAX(0,L17+R17+T17-(Tables!$B$22+IF(B17&gt;=Tables!$B$27,2*Tables!$B$23,0))))&gt;Tables!$A$31:$A$37)*((MAX(0,L17+R17+T17-(Tables!$B$22+IF(B17&gt;=Tables!$B$27,2*Tables!$B$23,0))))-Tables!$A$31:$A$37)*Tables!$C$31:$C$37)-O17</f>
        <v/>
      </c>
      <c r="V17">
        <f>IF((L17+U17)+0.5*H17&lt;=Tables!$B$24,0,IF((L17+U17)+0.5*H17&lt;=Tables!$B$25,MIN(0.5*H17,0.5*((L17+U17)+0.5*H17-Tables!$B$24)),MIN(0.85*H17,0.85*((L17+U17)+0.5*H17-Tables!$B$25)+MIN(Tables!$B$26,0.5*H17))))</f>
        <v/>
      </c>
      <c r="W17">
        <f>R17+SUMPRODUCT(((MAX(0,L17+U17+V17-(Tables!$B$22+IF(B17&gt;=Tables!$B$27,2*Tables!$B$23,0))))&gt;Tables!$A$31:$A$37)*((MAX(0,L17+U17+V17-(Tables!$B$22+IF(B17&gt;=Tables!$B$27,2*Tables!$B$23,0))))-Tables!$A$31:$A$37)*Tables!$C$31:$C$37)-O17</f>
        <v/>
      </c>
      <c r="X17">
        <f>IF((L17+W17)+0.5*H17&lt;=Tables!$B$24,0,IF((L17+W17)+0.5*H17&lt;=Tables!$B$25,MIN(0.5*H17,0.5*((L17+W17)+0.5*H17-Tables!$B$24)),MIN(0.85*H17,0.85*((L17+W17)+0.5*H17-Tables!$B$25)+MIN(Tables!$B$26,0.5*H17))))</f>
        <v/>
      </c>
      <c r="Y17">
        <f>R17+SUMPRODUCT(((MAX(0,L17+W17+X17-(Tables!$B$22+IF(B17&gt;=Tables!$B$27,2*Tables!$B$23,0))))&gt;Tables!$A$31:$A$37)*((MAX(0,L17+W17+X17-(Tables!$B$22+IF(B17&gt;=Tables!$B$27,2*Tables!$B$23,0))))-Tables!$A$31:$A$37)*Tables!$C$31:$C$37)-O17</f>
        <v/>
      </c>
      <c r="Z17">
        <f>IF((L17+Y17)+0.5*H17&lt;=Tables!$B$24,0,IF((L17+Y17)+0.5*H17&lt;=Tables!$B$25,MIN(0.5*H17,0.5*((L17+Y17)+0.5*H17-Tables!$B$24)),MIN(0.85*H17,0.85*((L17+Y17)+0.5*H17-Tables!$B$25)+MIN(Tables!$B$26,0.5*H17))))</f>
        <v/>
      </c>
      <c r="AA17">
        <f>R17+SUMPRODUCT(((MAX(0,L17+Y17+Z17-(Tables!$B$22+IF(B17&gt;=Tables!$B$27,2*Tables!$B$23,0))))&gt;Tables!$A$31:$A$37)*((MAX(0,L17+Y17+Z17-(Tables!$B$22+IF(B17&gt;=Tables!$B$27,2*Tables!$B$23,0))))-Tables!$A$31:$A$37)*Tables!$C$31:$C$37)-O17</f>
        <v/>
      </c>
      <c r="AB17">
        <f>IF((L17+AA17)+0.5*H17&lt;=Tables!$B$24,0,IF((L17+AA17)+0.5*H17&lt;=Tables!$B$25,MIN(0.5*H17,0.5*((L17+AA17)+0.5*H17-Tables!$B$24)),MIN(0.85*H17,0.85*((L17+AA17)+0.5*H17-Tables!$B$25)+MIN(Tables!$B$26,0.5*H17))))</f>
        <v/>
      </c>
      <c r="AC17">
        <f>R17+SUMPRODUCT(((MAX(0,L17+AA17+AB17-(Tables!$B$22+IF(B17&gt;=Tables!$B$27,2*Tables!$B$23,0))))&gt;Tables!$A$31:$A$37)*((MAX(0,L17+AA17+AB17-(Tables!$B$22+IF(B17&gt;=Tables!$B$27,2*Tables!$B$23,0))))-Tables!$A$31:$A$37)*Tables!$C$31:$C$37)-O17</f>
        <v/>
      </c>
      <c r="AD17">
        <f>IF((L17+AC17)+0.5*H17&lt;=Tables!$B$24,0,IF((L17+AC17)+0.5*H17&lt;=Tables!$B$25,MIN(0.5*H17,0.5*((L17+AC17)+0.5*H17-Tables!$B$24)),MIN(0.85*H17,0.85*((L17+AC17)+0.5*H17-Tables!$B$25)+MIN(Tables!$B$26,0.5*H17))))</f>
        <v/>
      </c>
      <c r="AE17">
        <f>R17+SUMPRODUCT(((MAX(0,L17+AC17+AD17-(Tables!$B$22+IF(B17&gt;=Tables!$B$27,2*Tables!$B$23,0))))&gt;Tables!$A$31:$A$37)*((MAX(0,L17+AC17+AD17-(Tables!$B$22+IF(B17&gt;=Tables!$B$27,2*Tables!$B$23,0))))-Tables!$A$31:$A$37)*Tables!$C$31:$C$37)-O17</f>
        <v/>
      </c>
      <c r="AF17">
        <f>IF((L17+AE17)+0.5*H17&lt;=Tables!$B$24,0,IF((L17+AE17)+0.5*H17&lt;=Tables!$B$25,MIN(0.5*H17,0.5*((L17+AE17)+0.5*H17-Tables!$B$24)),MIN(0.85*H17,0.85*((L17+AE17)+0.5*H17-Tables!$B$25)+MIN(Tables!$B$26,0.5*H17))))</f>
        <v/>
      </c>
      <c r="AG17">
        <f>R17+SUMPRODUCT(((MAX(0,L17+AE17+AF17-(Tables!$B$22+IF(B17&gt;=Tables!$B$27,2*Tables!$B$23,0))))&gt;Tables!$A$31:$A$37)*((MAX(0,L17+AE17+AF17-(Tables!$B$22+IF(B17&gt;=Tables!$B$27,2*Tables!$B$23,0))))-Tables!$A$31:$A$37)*Tables!$C$31:$C$37)-O17</f>
        <v/>
      </c>
      <c r="AH17">
        <f>IF((L17+AG17)+0.5*H17&lt;=Tables!$B$24,0,IF((L17+AG17)+0.5*H17&lt;=Tables!$B$25,MIN(0.5*H17,0.5*((L17+AG17)+0.5*H17-Tables!$B$24)),MIN(0.85*H17,0.85*((L17+AG17)+0.5*H17-Tables!$B$25)+MIN(Tables!$B$26,0.5*H17))))</f>
        <v/>
      </c>
      <c r="AI17">
        <f>R17+SUMPRODUCT(((MAX(0,L17+AG17+AH17-(Tables!$B$22+IF(B17&gt;=Tables!$B$27,2*Tables!$B$23,0))))&gt;Tables!$A$31:$A$37)*((MAX(0,L17+AG17+AH17-(Tables!$B$22+IF(B17&gt;=Tables!$B$27,2*Tables!$B$23,0))))-Tables!$A$31:$A$37)*Tables!$C$31:$C$37)-O17</f>
        <v/>
      </c>
      <c r="AJ17">
        <f>IF((L17+AI17)+0.5*H17&lt;=Tables!$B$24,0,IF((L17+AI17)+0.5*H17&lt;=Tables!$B$25,MIN(0.5*H17,0.5*((L17+AI17)+0.5*H17-Tables!$B$24)),MIN(0.85*H17,0.85*((L17+AI17)+0.5*H17-Tables!$B$25)+MIN(Tables!$B$26,0.5*H17))))</f>
        <v/>
      </c>
      <c r="AK17">
        <f>R17+SUMPRODUCT(((MAX(0,L17+AI17+AJ17-(Tables!$B$22+IF(B17&gt;=Tables!$B$27,2*Tables!$B$23,0))))&gt;Tables!$A$31:$A$37)*((MAX(0,L17+AI17+AJ17-(Tables!$B$22+IF(B17&gt;=Tables!$B$27,2*Tables!$B$23,0))))-Tables!$A$31:$A$37)*Tables!$C$31:$C$37)-O17</f>
        <v/>
      </c>
      <c r="AL17">
        <f>IF((L17+AK17)+0.5*H17&lt;=Tables!$B$24,0,IF((L17+AK17)+0.5*H17&lt;=Tables!$B$25,MIN(0.5*H17,0.5*((L17+AK17)+0.5*H17-Tables!$B$24)),MIN(0.85*H17,0.85*((L17+AK17)+0.5*H17-Tables!$B$25)+MIN(Tables!$B$26,0.5*H17))))</f>
        <v/>
      </c>
      <c r="AM17">
        <f>R17+SUMPRODUCT(((MAX(0,L17+AK17+AL17-(Tables!$B$22+IF(B17&gt;=Tables!$B$27,2*Tables!$B$23,0))))&gt;Tables!$A$31:$A$37)*((MAX(0,L17+AK17+AL17-(Tables!$B$22+IF(B17&gt;=Tables!$B$27,2*Tables!$B$23,0))))-Tables!$A$31:$A$37)*Tables!$C$31:$C$37)-O17</f>
        <v/>
      </c>
      <c r="AN17">
        <f>IF((L17+AM17)+0.5*H17&lt;=Tables!$B$24,0,IF((L17+AM17)+0.5*H17&lt;=Tables!$B$25,MIN(0.5*H17,0.5*((L17+AM17)+0.5*H17-Tables!$B$24)),MIN(0.85*H17,0.85*((L17+AM17)+0.5*H17-Tables!$B$25)+MIN(Tables!$B$26,0.5*H17))))</f>
        <v/>
      </c>
      <c r="AO17">
        <f>R17+SUMPRODUCT(((MAX(0,L17+AM17+AN17-(Tables!$B$22+IF(B17&gt;=Tables!$B$27,2*Tables!$B$23,0))))&gt;Tables!$A$31:$A$37)*((MAX(0,L17+AM17+AN17-(Tables!$B$22+IF(B17&gt;=Tables!$B$27,2*Tables!$B$23,0))))-Tables!$A$31:$A$37)*Tables!$C$31:$C$37)-O17</f>
        <v/>
      </c>
      <c r="AP17">
        <f>IF((L17+AO17)+0.5*H17&lt;=Tables!$B$24,0,IF((L17+AO17)+0.5*H17&lt;=Tables!$B$25,MIN(0.5*H17,0.5*((L17+AO17)+0.5*H17-Tables!$B$24)),MIN(0.85*H17,0.85*((L17+AO17)+0.5*H17-Tables!$B$25)+MIN(Tables!$B$26,0.5*H17))))</f>
        <v/>
      </c>
      <c r="AQ17">
        <f>R17+SUMPRODUCT(((MAX(0,L17+AO17+AP17-(Tables!$B$22+IF(B17&gt;=Tables!$B$27,2*Tables!$B$23,0))))&gt;Tables!$A$31:$A$37)*((MAX(0,L17+AO17+AP17-(Tables!$B$22+IF(B17&gt;=Tables!$B$27,2*Tables!$B$23,0))))-Tables!$A$31:$A$37)*Tables!$C$31:$C$37)-O17</f>
        <v/>
      </c>
      <c r="AR17">
        <f>IF((L17+AQ17)+0.5*H17&lt;=Tables!$B$24,0,IF((L17+AQ17)+0.5*H17&lt;=Tables!$B$25,MIN(0.5*H17,0.5*((L17+AQ17)+0.5*H17-Tables!$B$24)),MIN(0.85*H17,0.85*((L17+AQ17)+0.5*H17-Tables!$B$25)+MIN(Tables!$B$26,0.5*H17))))</f>
        <v/>
      </c>
      <c r="AS17">
        <f>R17+SUMPRODUCT(((MAX(0,L17+AQ17+AR17-(Tables!$B$22+IF(B17&gt;=Tables!$B$27,2*Tables!$B$23,0))))&gt;Tables!$A$31:$A$37)*((MAX(0,L17+AQ17+AR17-(Tables!$B$22+IF(B17&gt;=Tables!$B$27,2*Tables!$B$23,0))))-Tables!$A$31:$A$37)*Tables!$C$31:$C$37)-O17</f>
        <v/>
      </c>
      <c r="AT17">
        <f>IF((L17+AS17)+0.5*H17&lt;=Tables!$B$24,0,IF((L17+AS17)+0.5*H17&lt;=Tables!$B$25,MIN(0.5*H17,0.5*((L17+AS17)+0.5*H17-Tables!$B$24)),MIN(0.85*H17,0.85*((L17+AS17)+0.5*H17-Tables!$B$25)+MIN(Tables!$B$26,0.5*H17))))</f>
        <v/>
      </c>
      <c r="AU17">
        <f>R17+SUMPRODUCT(((MAX(0,L17+AS17+AT17-(Tables!$B$22+IF(B17&gt;=Tables!$B$27,2*Tables!$B$23,0))))&gt;Tables!$A$31:$A$37)*((MAX(0,L17+AS17+AT17-(Tables!$B$22+IF(B17&gt;=Tables!$B$27,2*Tables!$B$23,0))))-Tables!$A$31:$A$37)*Tables!$C$31:$C$37)-O17</f>
        <v/>
      </c>
      <c r="AV17">
        <f>IF((L17+AU17)+0.5*H17&lt;=Tables!$B$24,0,IF((L17+AU17)+0.5*H17&lt;=Tables!$B$25,MIN(0.5*H17,0.5*((L17+AU17)+0.5*H17-Tables!$B$24)),MIN(0.85*H17,0.85*((L17+AU17)+0.5*H17-Tables!$B$25)+MIN(Tables!$B$26,0.5*H17))))</f>
        <v/>
      </c>
      <c r="AW17">
        <f>R17+SUMPRODUCT(((MAX(0,L17+AU17+AV17-(Tables!$B$22+IF(B17&gt;=Tables!$B$27,2*Tables!$B$23,0))))&gt;Tables!$A$31:$A$37)*((MAX(0,L17+AU17+AV17-(Tables!$B$22+IF(B17&gt;=Tables!$B$27,2*Tables!$B$23,0))))-Tables!$A$31:$A$37)*Tables!$C$31:$C$37)-O17</f>
        <v/>
      </c>
      <c r="AX17">
        <f>IF((L17+AW17)+0.5*H17&lt;=Tables!$B$24,0,IF((L17+AW17)+0.5*H17&lt;=Tables!$B$25,MIN(0.5*H17,0.5*((L17+AW17)+0.5*H17-Tables!$B$24)),MIN(0.85*H17,0.85*((L17+AW17)+0.5*H17-Tables!$B$25)+MIN(Tables!$B$26,0.5*H17))))</f>
        <v/>
      </c>
      <c r="AY17">
        <f>R17+SUMPRODUCT(((MAX(0,L17+AW17+AX17-(Tables!$B$22+IF(B17&gt;=Tables!$B$27,2*Tables!$B$23,0))))&gt;Tables!$A$31:$A$37)*((MAX(0,L17+AW17+AX17-(Tables!$B$22+IF(B17&gt;=Tables!$B$27,2*Tables!$B$23,0))))-Tables!$A$31:$A$37)*Tables!$C$31:$C$37)-O17</f>
        <v/>
      </c>
      <c r="AZ17">
        <f>IF((L17+AY17)+0.5*H17&lt;=Tables!$B$24,0,IF((L17+AY17)+0.5*H17&lt;=Tables!$B$25,MIN(0.5*H17,0.5*((L17+AY17)+0.5*H17-Tables!$B$24)),MIN(0.85*H17,0.85*((L17+AY17)+0.5*H17-Tables!$B$25)+MIN(Tables!$B$26,0.5*H17))))</f>
        <v/>
      </c>
      <c r="BA17">
        <f>R17+SUMPRODUCT(((MAX(0,L17+AY17+AZ17-(Tables!$B$22+IF(B17&gt;=Tables!$B$27,2*Tables!$B$23,0))))&gt;Tables!$A$31:$A$37)*((MAX(0,L17+AY17+AZ17-(Tables!$B$22+IF(B17&gt;=Tables!$B$27,2*Tables!$B$23,0))))-Tables!$A$31:$A$37)*Tables!$C$31:$C$37)-O17</f>
        <v/>
      </c>
      <c r="BB17">
        <f>IF((L17+BA17)+0.5*H17&lt;=Tables!$B$24,0,IF((L17+BA17)+0.5*H17&lt;=Tables!$B$25,MIN(0.5*H17,0.5*((L17+BA17)+0.5*H17-Tables!$B$24)),MIN(0.85*H17,0.85*((L17+BA17)+0.5*H17-Tables!$B$25)+MIN(Tables!$B$26,0.5*H17))))</f>
        <v/>
      </c>
      <c r="BC17">
        <f>R17+SUMPRODUCT(((MAX(0,L17+BA17+BB17-(Tables!$B$22+IF(B17&gt;=Tables!$B$27,2*Tables!$B$23,0))))&gt;Tables!$A$31:$A$37)*((MAX(0,L17+BA17+BB17-(Tables!$B$22+IF(B17&gt;=Tables!$B$27,2*Tables!$B$23,0))))-Tables!$A$31:$A$37)*Tables!$C$31:$C$37)-O17</f>
        <v/>
      </c>
      <c r="BD17">
        <f>IF((L17+BC17)+0.5*H17&lt;=Tables!$B$24,0,IF((L17+BC17)+0.5*H17&lt;=Tables!$B$25,MIN(0.5*H17,0.5*((L17+BC17)+0.5*H17-Tables!$B$24)),MIN(0.85*H17,0.85*((L17+BC17)+0.5*H17-Tables!$B$25)+MIN(Tables!$B$26,0.5*H17))))</f>
        <v/>
      </c>
      <c r="BE17">
        <f>R17+SUMPRODUCT(((MAX(0,L17+BC17+BD17-(Tables!$B$22+IF(B17&gt;=Tables!$B$27,2*Tables!$B$23,0))))&gt;Tables!$A$31:$A$37)*((MAX(0,L17+BC17+BD17-(Tables!$B$22+IF(B17&gt;=Tables!$B$27,2*Tables!$B$23,0))))-Tables!$A$31:$A$37)*Tables!$C$31:$C$37)-O17</f>
        <v/>
      </c>
      <c r="BF17">
        <f>IF((L17+BE17)+0.5*H17&lt;=Tables!$B$24,0,IF((L17+BE17)+0.5*H17&lt;=Tables!$B$25,MIN(0.5*H17,0.5*((L17+BE17)+0.5*H17-Tables!$B$24)),MIN(0.85*H17,0.85*((L17+BE17)+0.5*H17-Tables!$B$25)+MIN(Tables!$B$26,0.5*H17))))</f>
        <v/>
      </c>
      <c r="BG17">
        <f>R17+SUMPRODUCT(((MAX(0,L17+BE17+BF17-(Tables!$B$22+IF(B17&gt;=Tables!$B$27,2*Tables!$B$23,0))))&gt;Tables!$A$31:$A$37)*((MAX(0,L17+BE17+BF17-(Tables!$B$22+IF(B17&gt;=Tables!$B$27,2*Tables!$B$23,0))))-Tables!$A$31:$A$37)*Tables!$C$31:$C$37)-O17</f>
        <v/>
      </c>
      <c r="BH17">
        <f>IF((L17+BG17)+0.5*H17&lt;=Tables!$B$24,0,IF((L17+BG17)+0.5*H17&lt;=Tables!$B$25,MIN(0.5*H17,0.5*((L17+BG17)+0.5*H17-Tables!$B$24)),MIN(0.85*H17,0.85*((L17+BG17)+0.5*H17-Tables!$B$25)+MIN(Tables!$B$26,0.5*H17))))</f>
        <v/>
      </c>
      <c r="BI17">
        <f>R17+SUMPRODUCT(((MAX(0,L17+BG17+BH17-(Tables!$B$22+IF(B17&gt;=Tables!$B$27,2*Tables!$B$23,0))))&gt;Tables!$A$31:$A$37)*((MAX(0,L17+BG17+BH17-(Tables!$B$22+IF(B17&gt;=Tables!$B$27,2*Tables!$B$23,0))))-Tables!$A$31:$A$37)*Tables!$C$31:$C$37)-O17</f>
        <v/>
      </c>
      <c r="BJ17">
        <f>IF((L17+BI17)+0.5*H17&lt;=Tables!$B$24,0,IF((L17+BI17)+0.5*H17&lt;=Tables!$B$25,MIN(0.5*H17,0.5*((L17+BI17)+0.5*H17-Tables!$B$24)),MIN(0.85*H17,0.85*((L17+BI17)+0.5*H17-Tables!$B$25)+MIN(Tables!$B$26,0.5*H17))))</f>
        <v/>
      </c>
      <c r="BK17">
        <f>R17+SUMPRODUCT(((MAX(0,L17+BI17+BJ17-(Tables!$B$22+IF(B17&gt;=Tables!$B$27,2*Tables!$B$23,0))))&gt;Tables!$A$31:$A$37)*((MAX(0,L17+BI17+BJ17-(Tables!$B$22+IF(B17&gt;=Tables!$B$27,2*Tables!$B$23,0))))-Tables!$A$31:$A$37)*Tables!$C$31:$C$37)-O17</f>
        <v/>
      </c>
      <c r="BL17">
        <f>IF((L17+BK17)+0.5*H17&lt;=Tables!$B$24,0,IF((L17+BK17)+0.5*H17&lt;=Tables!$B$25,MIN(0.5*H17,0.5*((L17+BK17)+0.5*H17-Tables!$B$24)),MIN(0.85*H17,0.85*((L17+BK17)+0.5*H17-Tables!$B$25)+MIN(Tables!$B$26,0.5*H17))))</f>
        <v/>
      </c>
      <c r="BM17">
        <f>R17+SUMPRODUCT(((MAX(0,L17+BK17+BL17-(Tables!$B$22+IF(B17&gt;=Tables!$B$27,2*Tables!$B$23,0))))&gt;Tables!$A$31:$A$37)*((MAX(0,L17+BK17+BL17-(Tables!$B$22+IF(B17&gt;=Tables!$B$27,2*Tables!$B$23,0))))-Tables!$A$31:$A$37)*Tables!$C$31:$C$37)-O17</f>
        <v/>
      </c>
      <c r="BN17">
        <f>IF((L17+BM17)+0.5*H17&lt;=Tables!$B$24,0,IF((L17+BM17)+0.5*H17&lt;=Tables!$B$25,MIN(0.5*H17,0.5*((L17+BM17)+0.5*H17-Tables!$B$24)),MIN(0.85*H17,0.85*((L17+BM17)+0.5*H17-Tables!$B$25)+MIN(Tables!$B$26,0.5*H17))))</f>
        <v/>
      </c>
      <c r="BO17">
        <f>R17+SUMPRODUCT(((MAX(0,L17+BM17+BN17-(Tables!$B$22+IF(B17&gt;=Tables!$B$27,2*Tables!$B$23,0))))&gt;Tables!$A$31:$A$37)*((MAX(0,L17+BM17+BN17-(Tables!$B$22+IF(B17&gt;=Tables!$B$27,2*Tables!$B$23,0))))-Tables!$A$31:$A$37)*Tables!$C$31:$C$37)-O17</f>
        <v/>
      </c>
      <c r="BP17">
        <f>MIN(BO17,S17)</f>
        <v/>
      </c>
      <c r="BQ17">
        <f>L17+BP17</f>
        <v/>
      </c>
      <c r="BR17">
        <f>IF(BQ17+0.5*H17&lt;=Tables!$B$24,0,IF(BQ17+0.5*H17&lt;=Tables!$B$25,MIN(0.5*H17,0.5*(BQ17+0.5*H17-Tables!$B$24)),MIN(0.85*H17,0.85*(BQ17+0.5*H17-Tables!$B$25)+MIN(Tables!$B$26,0.5*H17))))</f>
        <v/>
      </c>
      <c r="BS17">
        <f>MAX(0,BQ17+BR17-(Tables!$B$22+IF(B17&gt;=Tables!$B$27,2*Tables!$B$23,0)))</f>
        <v/>
      </c>
      <c r="BT17">
        <f>SUMPRODUCT(((BS17)&gt;Tables!$A$31:$A$37)*((BS17)-Tables!$A$31:$A$37)*Tables!$C$31:$C$37)</f>
        <v/>
      </c>
      <c r="BU17">
        <f>MAX(0,G17-(H17+BQ17+Q17-BT17))</f>
        <v/>
      </c>
      <c r="BV17">
        <f>MIN(J17,BU17)</f>
        <v/>
      </c>
      <c r="BW17">
        <f>H17+BQ17+Q17+BV17</f>
        <v/>
      </c>
      <c r="BX17">
        <f>MAX(0,BW17-G17-BT17)</f>
        <v/>
      </c>
      <c r="BY17">
        <f>MAX(0,G17+BT17-BW17)</f>
        <v/>
      </c>
      <c r="BZ17">
        <f>IF(C17=0,0,MAX(0,I17-BQ17)*(1+D17))</f>
        <v/>
      </c>
      <c r="CA17">
        <f>IF(C17=0,0,MAX(0,J17-BV17)*(1+D17))</f>
        <v/>
      </c>
      <c r="CB17">
        <f>IF(C17=0,0,MAX(0,K17-Q17+BX17)*(1+D17))</f>
        <v/>
      </c>
      <c r="CC17">
        <f>IF(C17=0,CC16,BZ17+CA17+CB17)</f>
        <v/>
      </c>
      <c r="CD17">
        <f>IF(C17=0,9999,IF(OR(BY17&gt;0.0001,CC17&lt;=0.0001),B17,9999))</f>
        <v/>
      </c>
    </row>
    <row r="18">
      <c r="A18" t="n">
        <v>16</v>
      </c>
      <c r="B18">
        <f>Tables!$B$13+A18</f>
        <v/>
      </c>
      <c r="C18">
        <f>IF(B18&lt;=Tables!$B$18,1,0)</f>
        <v/>
      </c>
      <c r="D18">
        <f>INDEX(Tables!$B$83:$B$123,A18+1)</f>
        <v/>
      </c>
      <c r="E18">
        <f>IF(A18=0,0,INDEX(Tables!$B$83:$B$123,A18))</f>
        <v/>
      </c>
      <c r="F18">
        <f>IF(AND(C18=1,Tables!$B$17="YES",A18&gt;0,E18&lt;Tables!$B$16),Tables!$B$15,0)</f>
        <v/>
      </c>
      <c r="G18">
        <f>IF(C18=0,0,Tables!$B$8-IF(B18&gt;=Tables!$B$7,Tables!$B$6,0)+IF(B18&lt;Tables!$B$27,Tables!$B$9,Tables!$B$10)-F18)</f>
        <v/>
      </c>
      <c r="H18">
        <f>IF(C18=0,0,IF(B18&gt;=Tables!$B$78,Tables!$D$78,0)+IF(B18&gt;=Tables!$C$78,Tables!$E$78,0))</f>
        <v/>
      </c>
      <c r="I18">
        <f>IF(C18=0,0,BZ17)</f>
        <v/>
      </c>
      <c r="J18">
        <f>IF(C18=0,0,CA17)</f>
        <v/>
      </c>
      <c r="K18">
        <f>IF(C18=0,0,CB17)</f>
        <v/>
      </c>
      <c r="L18">
        <f>IF(C18=0,0,IF(B18&gt;=Tables!$B$19,MIN(I18,I18/VLOOKUP(B18,Tables!$A$41:$B$61,2,FALSE)),0))</f>
        <v/>
      </c>
      <c r="M18">
        <f>IF(L18+0.5*H18&lt;=Tables!$B$24,0,IF(L18+0.5*H18&lt;=Tables!$B$25,MIN(0.5*H18,0.5*(L18+0.5*H18-Tables!$B$24)),MIN(0.85*H18,0.85*(L18+0.5*H18-Tables!$B$25)+MIN(Tables!$B$26,0.5*H18))))</f>
        <v/>
      </c>
      <c r="N18">
        <f>MAX(0,L18+M18-(Tables!$B$22+IF(B18&gt;=Tables!$B$27,2*Tables!$B$23,0)))</f>
        <v/>
      </c>
      <c r="O18">
        <f>SUMPRODUCT(((N18)&gt;Tables!$A$31:$A$37)*((N18)-Tables!$A$31:$A$37)*Tables!$C$31:$C$37)</f>
        <v/>
      </c>
      <c r="P18">
        <f>G18-(H18+L18-O18)</f>
        <v/>
      </c>
      <c r="Q18">
        <f>MIN(K18,MAX(0,P18))</f>
        <v/>
      </c>
      <c r="R18">
        <f>MAX(0,P18-Q18)</f>
        <v/>
      </c>
      <c r="S18">
        <f>MAX(0,I18-L18)</f>
        <v/>
      </c>
      <c r="T18">
        <f>IF((L18+R18)+0.5*H18&lt;=Tables!$B$24,0,IF((L18+R18)+0.5*H18&lt;=Tables!$B$25,MIN(0.5*H18,0.5*((L18+R18)+0.5*H18-Tables!$B$24)),MIN(0.85*H18,0.85*((L18+R18)+0.5*H18-Tables!$B$25)+MIN(Tables!$B$26,0.5*H18))))</f>
        <v/>
      </c>
      <c r="U18">
        <f>R18+SUMPRODUCT(((MAX(0,L18+R18+T18-(Tables!$B$22+IF(B18&gt;=Tables!$B$27,2*Tables!$B$23,0))))&gt;Tables!$A$31:$A$37)*((MAX(0,L18+R18+T18-(Tables!$B$22+IF(B18&gt;=Tables!$B$27,2*Tables!$B$23,0))))-Tables!$A$31:$A$37)*Tables!$C$31:$C$37)-O18</f>
        <v/>
      </c>
      <c r="V18">
        <f>IF((L18+U18)+0.5*H18&lt;=Tables!$B$24,0,IF((L18+U18)+0.5*H18&lt;=Tables!$B$25,MIN(0.5*H18,0.5*((L18+U18)+0.5*H18-Tables!$B$24)),MIN(0.85*H18,0.85*((L18+U18)+0.5*H18-Tables!$B$25)+MIN(Tables!$B$26,0.5*H18))))</f>
        <v/>
      </c>
      <c r="W18">
        <f>R18+SUMPRODUCT(((MAX(0,L18+U18+V18-(Tables!$B$22+IF(B18&gt;=Tables!$B$27,2*Tables!$B$23,0))))&gt;Tables!$A$31:$A$37)*((MAX(0,L18+U18+V18-(Tables!$B$22+IF(B18&gt;=Tables!$B$27,2*Tables!$B$23,0))))-Tables!$A$31:$A$37)*Tables!$C$31:$C$37)-O18</f>
        <v/>
      </c>
      <c r="X18">
        <f>IF((L18+W18)+0.5*H18&lt;=Tables!$B$24,0,IF((L18+W18)+0.5*H18&lt;=Tables!$B$25,MIN(0.5*H18,0.5*((L18+W18)+0.5*H18-Tables!$B$24)),MIN(0.85*H18,0.85*((L18+W18)+0.5*H18-Tables!$B$25)+MIN(Tables!$B$26,0.5*H18))))</f>
        <v/>
      </c>
      <c r="Y18">
        <f>R18+SUMPRODUCT(((MAX(0,L18+W18+X18-(Tables!$B$22+IF(B18&gt;=Tables!$B$27,2*Tables!$B$23,0))))&gt;Tables!$A$31:$A$37)*((MAX(0,L18+W18+X18-(Tables!$B$22+IF(B18&gt;=Tables!$B$27,2*Tables!$B$23,0))))-Tables!$A$31:$A$37)*Tables!$C$31:$C$37)-O18</f>
        <v/>
      </c>
      <c r="Z18">
        <f>IF((L18+Y18)+0.5*H18&lt;=Tables!$B$24,0,IF((L18+Y18)+0.5*H18&lt;=Tables!$B$25,MIN(0.5*H18,0.5*((L18+Y18)+0.5*H18-Tables!$B$24)),MIN(0.85*H18,0.85*((L18+Y18)+0.5*H18-Tables!$B$25)+MIN(Tables!$B$26,0.5*H18))))</f>
        <v/>
      </c>
      <c r="AA18">
        <f>R18+SUMPRODUCT(((MAX(0,L18+Y18+Z18-(Tables!$B$22+IF(B18&gt;=Tables!$B$27,2*Tables!$B$23,0))))&gt;Tables!$A$31:$A$37)*((MAX(0,L18+Y18+Z18-(Tables!$B$22+IF(B18&gt;=Tables!$B$27,2*Tables!$B$23,0))))-Tables!$A$31:$A$37)*Tables!$C$31:$C$37)-O18</f>
        <v/>
      </c>
      <c r="AB18">
        <f>IF((L18+AA18)+0.5*H18&lt;=Tables!$B$24,0,IF((L18+AA18)+0.5*H18&lt;=Tables!$B$25,MIN(0.5*H18,0.5*((L18+AA18)+0.5*H18-Tables!$B$24)),MIN(0.85*H18,0.85*((L18+AA18)+0.5*H18-Tables!$B$25)+MIN(Tables!$B$26,0.5*H18))))</f>
        <v/>
      </c>
      <c r="AC18">
        <f>R18+SUMPRODUCT(((MAX(0,L18+AA18+AB18-(Tables!$B$22+IF(B18&gt;=Tables!$B$27,2*Tables!$B$23,0))))&gt;Tables!$A$31:$A$37)*((MAX(0,L18+AA18+AB18-(Tables!$B$22+IF(B18&gt;=Tables!$B$27,2*Tables!$B$23,0))))-Tables!$A$31:$A$37)*Tables!$C$31:$C$37)-O18</f>
        <v/>
      </c>
      <c r="AD18">
        <f>IF((L18+AC18)+0.5*H18&lt;=Tables!$B$24,0,IF((L18+AC18)+0.5*H18&lt;=Tables!$B$25,MIN(0.5*H18,0.5*((L18+AC18)+0.5*H18-Tables!$B$24)),MIN(0.85*H18,0.85*((L18+AC18)+0.5*H18-Tables!$B$25)+MIN(Tables!$B$26,0.5*H18))))</f>
        <v/>
      </c>
      <c r="AE18">
        <f>R18+SUMPRODUCT(((MAX(0,L18+AC18+AD18-(Tables!$B$22+IF(B18&gt;=Tables!$B$27,2*Tables!$B$23,0))))&gt;Tables!$A$31:$A$37)*((MAX(0,L18+AC18+AD18-(Tables!$B$22+IF(B18&gt;=Tables!$B$27,2*Tables!$B$23,0))))-Tables!$A$31:$A$37)*Tables!$C$31:$C$37)-O18</f>
        <v/>
      </c>
      <c r="AF18">
        <f>IF((L18+AE18)+0.5*H18&lt;=Tables!$B$24,0,IF((L18+AE18)+0.5*H18&lt;=Tables!$B$25,MIN(0.5*H18,0.5*((L18+AE18)+0.5*H18-Tables!$B$24)),MIN(0.85*H18,0.85*((L18+AE18)+0.5*H18-Tables!$B$25)+MIN(Tables!$B$26,0.5*H18))))</f>
        <v/>
      </c>
      <c r="AG18">
        <f>R18+SUMPRODUCT(((MAX(0,L18+AE18+AF18-(Tables!$B$22+IF(B18&gt;=Tables!$B$27,2*Tables!$B$23,0))))&gt;Tables!$A$31:$A$37)*((MAX(0,L18+AE18+AF18-(Tables!$B$22+IF(B18&gt;=Tables!$B$27,2*Tables!$B$23,0))))-Tables!$A$31:$A$37)*Tables!$C$31:$C$37)-O18</f>
        <v/>
      </c>
      <c r="AH18">
        <f>IF((L18+AG18)+0.5*H18&lt;=Tables!$B$24,0,IF((L18+AG18)+0.5*H18&lt;=Tables!$B$25,MIN(0.5*H18,0.5*((L18+AG18)+0.5*H18-Tables!$B$24)),MIN(0.85*H18,0.85*((L18+AG18)+0.5*H18-Tables!$B$25)+MIN(Tables!$B$26,0.5*H18))))</f>
        <v/>
      </c>
      <c r="AI18">
        <f>R18+SUMPRODUCT(((MAX(0,L18+AG18+AH18-(Tables!$B$22+IF(B18&gt;=Tables!$B$27,2*Tables!$B$23,0))))&gt;Tables!$A$31:$A$37)*((MAX(0,L18+AG18+AH18-(Tables!$B$22+IF(B18&gt;=Tables!$B$27,2*Tables!$B$23,0))))-Tables!$A$31:$A$37)*Tables!$C$31:$C$37)-O18</f>
        <v/>
      </c>
      <c r="AJ18">
        <f>IF((L18+AI18)+0.5*H18&lt;=Tables!$B$24,0,IF((L18+AI18)+0.5*H18&lt;=Tables!$B$25,MIN(0.5*H18,0.5*((L18+AI18)+0.5*H18-Tables!$B$24)),MIN(0.85*H18,0.85*((L18+AI18)+0.5*H18-Tables!$B$25)+MIN(Tables!$B$26,0.5*H18))))</f>
        <v/>
      </c>
      <c r="AK18">
        <f>R18+SUMPRODUCT(((MAX(0,L18+AI18+AJ18-(Tables!$B$22+IF(B18&gt;=Tables!$B$27,2*Tables!$B$23,0))))&gt;Tables!$A$31:$A$37)*((MAX(0,L18+AI18+AJ18-(Tables!$B$22+IF(B18&gt;=Tables!$B$27,2*Tables!$B$23,0))))-Tables!$A$31:$A$37)*Tables!$C$31:$C$37)-O18</f>
        <v/>
      </c>
      <c r="AL18">
        <f>IF((L18+AK18)+0.5*H18&lt;=Tables!$B$24,0,IF((L18+AK18)+0.5*H18&lt;=Tables!$B$25,MIN(0.5*H18,0.5*((L18+AK18)+0.5*H18-Tables!$B$24)),MIN(0.85*H18,0.85*((L18+AK18)+0.5*H18-Tables!$B$25)+MIN(Tables!$B$26,0.5*H18))))</f>
        <v/>
      </c>
      <c r="AM18">
        <f>R18+SUMPRODUCT(((MAX(0,L18+AK18+AL18-(Tables!$B$22+IF(B18&gt;=Tables!$B$27,2*Tables!$B$23,0))))&gt;Tables!$A$31:$A$37)*((MAX(0,L18+AK18+AL18-(Tables!$B$22+IF(B18&gt;=Tables!$B$27,2*Tables!$B$23,0))))-Tables!$A$31:$A$37)*Tables!$C$31:$C$37)-O18</f>
        <v/>
      </c>
      <c r="AN18">
        <f>IF((L18+AM18)+0.5*H18&lt;=Tables!$B$24,0,IF((L18+AM18)+0.5*H18&lt;=Tables!$B$25,MIN(0.5*H18,0.5*((L18+AM18)+0.5*H18-Tables!$B$24)),MIN(0.85*H18,0.85*((L18+AM18)+0.5*H18-Tables!$B$25)+MIN(Tables!$B$26,0.5*H18))))</f>
        <v/>
      </c>
      <c r="AO18">
        <f>R18+SUMPRODUCT(((MAX(0,L18+AM18+AN18-(Tables!$B$22+IF(B18&gt;=Tables!$B$27,2*Tables!$B$23,0))))&gt;Tables!$A$31:$A$37)*((MAX(0,L18+AM18+AN18-(Tables!$B$22+IF(B18&gt;=Tables!$B$27,2*Tables!$B$23,0))))-Tables!$A$31:$A$37)*Tables!$C$31:$C$37)-O18</f>
        <v/>
      </c>
      <c r="AP18">
        <f>IF((L18+AO18)+0.5*H18&lt;=Tables!$B$24,0,IF((L18+AO18)+0.5*H18&lt;=Tables!$B$25,MIN(0.5*H18,0.5*((L18+AO18)+0.5*H18-Tables!$B$24)),MIN(0.85*H18,0.85*((L18+AO18)+0.5*H18-Tables!$B$25)+MIN(Tables!$B$26,0.5*H18))))</f>
        <v/>
      </c>
      <c r="AQ18">
        <f>R18+SUMPRODUCT(((MAX(0,L18+AO18+AP18-(Tables!$B$22+IF(B18&gt;=Tables!$B$27,2*Tables!$B$23,0))))&gt;Tables!$A$31:$A$37)*((MAX(0,L18+AO18+AP18-(Tables!$B$22+IF(B18&gt;=Tables!$B$27,2*Tables!$B$23,0))))-Tables!$A$31:$A$37)*Tables!$C$31:$C$37)-O18</f>
        <v/>
      </c>
      <c r="AR18">
        <f>IF((L18+AQ18)+0.5*H18&lt;=Tables!$B$24,0,IF((L18+AQ18)+0.5*H18&lt;=Tables!$B$25,MIN(0.5*H18,0.5*((L18+AQ18)+0.5*H18-Tables!$B$24)),MIN(0.85*H18,0.85*((L18+AQ18)+0.5*H18-Tables!$B$25)+MIN(Tables!$B$26,0.5*H18))))</f>
        <v/>
      </c>
      <c r="AS18">
        <f>R18+SUMPRODUCT(((MAX(0,L18+AQ18+AR18-(Tables!$B$22+IF(B18&gt;=Tables!$B$27,2*Tables!$B$23,0))))&gt;Tables!$A$31:$A$37)*((MAX(0,L18+AQ18+AR18-(Tables!$B$22+IF(B18&gt;=Tables!$B$27,2*Tables!$B$23,0))))-Tables!$A$31:$A$37)*Tables!$C$31:$C$37)-O18</f>
        <v/>
      </c>
      <c r="AT18">
        <f>IF((L18+AS18)+0.5*H18&lt;=Tables!$B$24,0,IF((L18+AS18)+0.5*H18&lt;=Tables!$B$25,MIN(0.5*H18,0.5*((L18+AS18)+0.5*H18-Tables!$B$24)),MIN(0.85*H18,0.85*((L18+AS18)+0.5*H18-Tables!$B$25)+MIN(Tables!$B$26,0.5*H18))))</f>
        <v/>
      </c>
      <c r="AU18">
        <f>R18+SUMPRODUCT(((MAX(0,L18+AS18+AT18-(Tables!$B$22+IF(B18&gt;=Tables!$B$27,2*Tables!$B$23,0))))&gt;Tables!$A$31:$A$37)*((MAX(0,L18+AS18+AT18-(Tables!$B$22+IF(B18&gt;=Tables!$B$27,2*Tables!$B$23,0))))-Tables!$A$31:$A$37)*Tables!$C$31:$C$37)-O18</f>
        <v/>
      </c>
      <c r="AV18">
        <f>IF((L18+AU18)+0.5*H18&lt;=Tables!$B$24,0,IF((L18+AU18)+0.5*H18&lt;=Tables!$B$25,MIN(0.5*H18,0.5*((L18+AU18)+0.5*H18-Tables!$B$24)),MIN(0.85*H18,0.85*((L18+AU18)+0.5*H18-Tables!$B$25)+MIN(Tables!$B$26,0.5*H18))))</f>
        <v/>
      </c>
      <c r="AW18">
        <f>R18+SUMPRODUCT(((MAX(0,L18+AU18+AV18-(Tables!$B$22+IF(B18&gt;=Tables!$B$27,2*Tables!$B$23,0))))&gt;Tables!$A$31:$A$37)*((MAX(0,L18+AU18+AV18-(Tables!$B$22+IF(B18&gt;=Tables!$B$27,2*Tables!$B$23,0))))-Tables!$A$31:$A$37)*Tables!$C$31:$C$37)-O18</f>
        <v/>
      </c>
      <c r="AX18">
        <f>IF((L18+AW18)+0.5*H18&lt;=Tables!$B$24,0,IF((L18+AW18)+0.5*H18&lt;=Tables!$B$25,MIN(0.5*H18,0.5*((L18+AW18)+0.5*H18-Tables!$B$24)),MIN(0.85*H18,0.85*((L18+AW18)+0.5*H18-Tables!$B$25)+MIN(Tables!$B$26,0.5*H18))))</f>
        <v/>
      </c>
      <c r="AY18">
        <f>R18+SUMPRODUCT(((MAX(0,L18+AW18+AX18-(Tables!$B$22+IF(B18&gt;=Tables!$B$27,2*Tables!$B$23,0))))&gt;Tables!$A$31:$A$37)*((MAX(0,L18+AW18+AX18-(Tables!$B$22+IF(B18&gt;=Tables!$B$27,2*Tables!$B$23,0))))-Tables!$A$31:$A$37)*Tables!$C$31:$C$37)-O18</f>
        <v/>
      </c>
      <c r="AZ18">
        <f>IF((L18+AY18)+0.5*H18&lt;=Tables!$B$24,0,IF((L18+AY18)+0.5*H18&lt;=Tables!$B$25,MIN(0.5*H18,0.5*((L18+AY18)+0.5*H18-Tables!$B$24)),MIN(0.85*H18,0.85*((L18+AY18)+0.5*H18-Tables!$B$25)+MIN(Tables!$B$26,0.5*H18))))</f>
        <v/>
      </c>
      <c r="BA18">
        <f>R18+SUMPRODUCT(((MAX(0,L18+AY18+AZ18-(Tables!$B$22+IF(B18&gt;=Tables!$B$27,2*Tables!$B$23,0))))&gt;Tables!$A$31:$A$37)*((MAX(0,L18+AY18+AZ18-(Tables!$B$22+IF(B18&gt;=Tables!$B$27,2*Tables!$B$23,0))))-Tables!$A$31:$A$37)*Tables!$C$31:$C$37)-O18</f>
        <v/>
      </c>
      <c r="BB18">
        <f>IF((L18+BA18)+0.5*H18&lt;=Tables!$B$24,0,IF((L18+BA18)+0.5*H18&lt;=Tables!$B$25,MIN(0.5*H18,0.5*((L18+BA18)+0.5*H18-Tables!$B$24)),MIN(0.85*H18,0.85*((L18+BA18)+0.5*H18-Tables!$B$25)+MIN(Tables!$B$26,0.5*H18))))</f>
        <v/>
      </c>
      <c r="BC18">
        <f>R18+SUMPRODUCT(((MAX(0,L18+BA18+BB18-(Tables!$B$22+IF(B18&gt;=Tables!$B$27,2*Tables!$B$23,0))))&gt;Tables!$A$31:$A$37)*((MAX(0,L18+BA18+BB18-(Tables!$B$22+IF(B18&gt;=Tables!$B$27,2*Tables!$B$23,0))))-Tables!$A$31:$A$37)*Tables!$C$31:$C$37)-O18</f>
        <v/>
      </c>
      <c r="BD18">
        <f>IF((L18+BC18)+0.5*H18&lt;=Tables!$B$24,0,IF((L18+BC18)+0.5*H18&lt;=Tables!$B$25,MIN(0.5*H18,0.5*((L18+BC18)+0.5*H18-Tables!$B$24)),MIN(0.85*H18,0.85*((L18+BC18)+0.5*H18-Tables!$B$25)+MIN(Tables!$B$26,0.5*H18))))</f>
        <v/>
      </c>
      <c r="BE18">
        <f>R18+SUMPRODUCT(((MAX(0,L18+BC18+BD18-(Tables!$B$22+IF(B18&gt;=Tables!$B$27,2*Tables!$B$23,0))))&gt;Tables!$A$31:$A$37)*((MAX(0,L18+BC18+BD18-(Tables!$B$22+IF(B18&gt;=Tables!$B$27,2*Tables!$B$23,0))))-Tables!$A$31:$A$37)*Tables!$C$31:$C$37)-O18</f>
        <v/>
      </c>
      <c r="BF18">
        <f>IF((L18+BE18)+0.5*H18&lt;=Tables!$B$24,0,IF((L18+BE18)+0.5*H18&lt;=Tables!$B$25,MIN(0.5*H18,0.5*((L18+BE18)+0.5*H18-Tables!$B$24)),MIN(0.85*H18,0.85*((L18+BE18)+0.5*H18-Tables!$B$25)+MIN(Tables!$B$26,0.5*H18))))</f>
        <v/>
      </c>
      <c r="BG18">
        <f>R18+SUMPRODUCT(((MAX(0,L18+BE18+BF18-(Tables!$B$22+IF(B18&gt;=Tables!$B$27,2*Tables!$B$23,0))))&gt;Tables!$A$31:$A$37)*((MAX(0,L18+BE18+BF18-(Tables!$B$22+IF(B18&gt;=Tables!$B$27,2*Tables!$B$23,0))))-Tables!$A$31:$A$37)*Tables!$C$31:$C$37)-O18</f>
        <v/>
      </c>
      <c r="BH18">
        <f>IF((L18+BG18)+0.5*H18&lt;=Tables!$B$24,0,IF((L18+BG18)+0.5*H18&lt;=Tables!$B$25,MIN(0.5*H18,0.5*((L18+BG18)+0.5*H18-Tables!$B$24)),MIN(0.85*H18,0.85*((L18+BG18)+0.5*H18-Tables!$B$25)+MIN(Tables!$B$26,0.5*H18))))</f>
        <v/>
      </c>
      <c r="BI18">
        <f>R18+SUMPRODUCT(((MAX(0,L18+BG18+BH18-(Tables!$B$22+IF(B18&gt;=Tables!$B$27,2*Tables!$B$23,0))))&gt;Tables!$A$31:$A$37)*((MAX(0,L18+BG18+BH18-(Tables!$B$22+IF(B18&gt;=Tables!$B$27,2*Tables!$B$23,0))))-Tables!$A$31:$A$37)*Tables!$C$31:$C$37)-O18</f>
        <v/>
      </c>
      <c r="BJ18">
        <f>IF((L18+BI18)+0.5*H18&lt;=Tables!$B$24,0,IF((L18+BI18)+0.5*H18&lt;=Tables!$B$25,MIN(0.5*H18,0.5*((L18+BI18)+0.5*H18-Tables!$B$24)),MIN(0.85*H18,0.85*((L18+BI18)+0.5*H18-Tables!$B$25)+MIN(Tables!$B$26,0.5*H18))))</f>
        <v/>
      </c>
      <c r="BK18">
        <f>R18+SUMPRODUCT(((MAX(0,L18+BI18+BJ18-(Tables!$B$22+IF(B18&gt;=Tables!$B$27,2*Tables!$B$23,0))))&gt;Tables!$A$31:$A$37)*((MAX(0,L18+BI18+BJ18-(Tables!$B$22+IF(B18&gt;=Tables!$B$27,2*Tables!$B$23,0))))-Tables!$A$31:$A$37)*Tables!$C$31:$C$37)-O18</f>
        <v/>
      </c>
      <c r="BL18">
        <f>IF((L18+BK18)+0.5*H18&lt;=Tables!$B$24,0,IF((L18+BK18)+0.5*H18&lt;=Tables!$B$25,MIN(0.5*H18,0.5*((L18+BK18)+0.5*H18-Tables!$B$24)),MIN(0.85*H18,0.85*((L18+BK18)+0.5*H18-Tables!$B$25)+MIN(Tables!$B$26,0.5*H18))))</f>
        <v/>
      </c>
      <c r="BM18">
        <f>R18+SUMPRODUCT(((MAX(0,L18+BK18+BL18-(Tables!$B$22+IF(B18&gt;=Tables!$B$27,2*Tables!$B$23,0))))&gt;Tables!$A$31:$A$37)*((MAX(0,L18+BK18+BL18-(Tables!$B$22+IF(B18&gt;=Tables!$B$27,2*Tables!$B$23,0))))-Tables!$A$31:$A$37)*Tables!$C$31:$C$37)-O18</f>
        <v/>
      </c>
      <c r="BN18">
        <f>IF((L18+BM18)+0.5*H18&lt;=Tables!$B$24,0,IF((L18+BM18)+0.5*H18&lt;=Tables!$B$25,MIN(0.5*H18,0.5*((L18+BM18)+0.5*H18-Tables!$B$24)),MIN(0.85*H18,0.85*((L18+BM18)+0.5*H18-Tables!$B$25)+MIN(Tables!$B$26,0.5*H18))))</f>
        <v/>
      </c>
      <c r="BO18">
        <f>R18+SUMPRODUCT(((MAX(0,L18+BM18+BN18-(Tables!$B$22+IF(B18&gt;=Tables!$B$27,2*Tables!$B$23,0))))&gt;Tables!$A$31:$A$37)*((MAX(0,L18+BM18+BN18-(Tables!$B$22+IF(B18&gt;=Tables!$B$27,2*Tables!$B$23,0))))-Tables!$A$31:$A$37)*Tables!$C$31:$C$37)-O18</f>
        <v/>
      </c>
      <c r="BP18">
        <f>MIN(BO18,S18)</f>
        <v/>
      </c>
      <c r="BQ18">
        <f>L18+BP18</f>
        <v/>
      </c>
      <c r="BR18">
        <f>IF(BQ18+0.5*H18&lt;=Tables!$B$24,0,IF(BQ18+0.5*H18&lt;=Tables!$B$25,MIN(0.5*H18,0.5*(BQ18+0.5*H18-Tables!$B$24)),MIN(0.85*H18,0.85*(BQ18+0.5*H18-Tables!$B$25)+MIN(Tables!$B$26,0.5*H18))))</f>
        <v/>
      </c>
      <c r="BS18">
        <f>MAX(0,BQ18+BR18-(Tables!$B$22+IF(B18&gt;=Tables!$B$27,2*Tables!$B$23,0)))</f>
        <v/>
      </c>
      <c r="BT18">
        <f>SUMPRODUCT(((BS18)&gt;Tables!$A$31:$A$37)*((BS18)-Tables!$A$31:$A$37)*Tables!$C$31:$C$37)</f>
        <v/>
      </c>
      <c r="BU18">
        <f>MAX(0,G18-(H18+BQ18+Q18-BT18))</f>
        <v/>
      </c>
      <c r="BV18">
        <f>MIN(J18,BU18)</f>
        <v/>
      </c>
      <c r="BW18">
        <f>H18+BQ18+Q18+BV18</f>
        <v/>
      </c>
      <c r="BX18">
        <f>MAX(0,BW18-G18-BT18)</f>
        <v/>
      </c>
      <c r="BY18">
        <f>MAX(0,G18+BT18-BW18)</f>
        <v/>
      </c>
      <c r="BZ18">
        <f>IF(C18=0,0,MAX(0,I18-BQ18)*(1+D18))</f>
        <v/>
      </c>
      <c r="CA18">
        <f>IF(C18=0,0,MAX(0,J18-BV18)*(1+D18))</f>
        <v/>
      </c>
      <c r="CB18">
        <f>IF(C18=0,0,MAX(0,K18-Q18+BX18)*(1+D18))</f>
        <v/>
      </c>
      <c r="CC18">
        <f>IF(C18=0,CC17,BZ18+CA18+CB18)</f>
        <v/>
      </c>
      <c r="CD18">
        <f>IF(C18=0,9999,IF(OR(BY18&gt;0.0001,CC18&lt;=0.0001),B18,9999))</f>
        <v/>
      </c>
    </row>
    <row r="19">
      <c r="A19" t="n">
        <v>17</v>
      </c>
      <c r="B19">
        <f>Tables!$B$13+A19</f>
        <v/>
      </c>
      <c r="C19">
        <f>IF(B19&lt;=Tables!$B$18,1,0)</f>
        <v/>
      </c>
      <c r="D19">
        <f>INDEX(Tables!$B$83:$B$123,A19+1)</f>
        <v/>
      </c>
      <c r="E19">
        <f>IF(A19=0,0,INDEX(Tables!$B$83:$B$123,A19))</f>
        <v/>
      </c>
      <c r="F19">
        <f>IF(AND(C19=1,Tables!$B$17="YES",A19&gt;0,E19&lt;Tables!$B$16),Tables!$B$15,0)</f>
        <v/>
      </c>
      <c r="G19">
        <f>IF(C19=0,0,Tables!$B$8-IF(B19&gt;=Tables!$B$7,Tables!$B$6,0)+IF(B19&lt;Tables!$B$27,Tables!$B$9,Tables!$B$10)-F19)</f>
        <v/>
      </c>
      <c r="H19">
        <f>IF(C19=0,0,IF(B19&gt;=Tables!$B$78,Tables!$D$78,0)+IF(B19&gt;=Tables!$C$78,Tables!$E$78,0))</f>
        <v/>
      </c>
      <c r="I19">
        <f>IF(C19=0,0,BZ18)</f>
        <v/>
      </c>
      <c r="J19">
        <f>IF(C19=0,0,CA18)</f>
        <v/>
      </c>
      <c r="K19">
        <f>IF(C19=0,0,CB18)</f>
        <v/>
      </c>
      <c r="L19">
        <f>IF(C19=0,0,IF(B19&gt;=Tables!$B$19,MIN(I19,I19/VLOOKUP(B19,Tables!$A$41:$B$61,2,FALSE)),0))</f>
        <v/>
      </c>
      <c r="M19">
        <f>IF(L19+0.5*H19&lt;=Tables!$B$24,0,IF(L19+0.5*H19&lt;=Tables!$B$25,MIN(0.5*H19,0.5*(L19+0.5*H19-Tables!$B$24)),MIN(0.85*H19,0.85*(L19+0.5*H19-Tables!$B$25)+MIN(Tables!$B$26,0.5*H19))))</f>
        <v/>
      </c>
      <c r="N19">
        <f>MAX(0,L19+M19-(Tables!$B$22+IF(B19&gt;=Tables!$B$27,2*Tables!$B$23,0)))</f>
        <v/>
      </c>
      <c r="O19">
        <f>SUMPRODUCT(((N19)&gt;Tables!$A$31:$A$37)*((N19)-Tables!$A$31:$A$37)*Tables!$C$31:$C$37)</f>
        <v/>
      </c>
      <c r="P19">
        <f>G19-(H19+L19-O19)</f>
        <v/>
      </c>
      <c r="Q19">
        <f>MIN(K19,MAX(0,P19))</f>
        <v/>
      </c>
      <c r="R19">
        <f>MAX(0,P19-Q19)</f>
        <v/>
      </c>
      <c r="S19">
        <f>MAX(0,I19-L19)</f>
        <v/>
      </c>
      <c r="T19">
        <f>IF((L19+R19)+0.5*H19&lt;=Tables!$B$24,0,IF((L19+R19)+0.5*H19&lt;=Tables!$B$25,MIN(0.5*H19,0.5*((L19+R19)+0.5*H19-Tables!$B$24)),MIN(0.85*H19,0.85*((L19+R19)+0.5*H19-Tables!$B$25)+MIN(Tables!$B$26,0.5*H19))))</f>
        <v/>
      </c>
      <c r="U19">
        <f>R19+SUMPRODUCT(((MAX(0,L19+R19+T19-(Tables!$B$22+IF(B19&gt;=Tables!$B$27,2*Tables!$B$23,0))))&gt;Tables!$A$31:$A$37)*((MAX(0,L19+R19+T19-(Tables!$B$22+IF(B19&gt;=Tables!$B$27,2*Tables!$B$23,0))))-Tables!$A$31:$A$37)*Tables!$C$31:$C$37)-O19</f>
        <v/>
      </c>
      <c r="V19">
        <f>IF((L19+U19)+0.5*H19&lt;=Tables!$B$24,0,IF((L19+U19)+0.5*H19&lt;=Tables!$B$25,MIN(0.5*H19,0.5*((L19+U19)+0.5*H19-Tables!$B$24)),MIN(0.85*H19,0.85*((L19+U19)+0.5*H19-Tables!$B$25)+MIN(Tables!$B$26,0.5*H19))))</f>
        <v/>
      </c>
      <c r="W19">
        <f>R19+SUMPRODUCT(((MAX(0,L19+U19+V19-(Tables!$B$22+IF(B19&gt;=Tables!$B$27,2*Tables!$B$23,0))))&gt;Tables!$A$31:$A$37)*((MAX(0,L19+U19+V19-(Tables!$B$22+IF(B19&gt;=Tables!$B$27,2*Tables!$B$23,0))))-Tables!$A$31:$A$37)*Tables!$C$31:$C$37)-O19</f>
        <v/>
      </c>
      <c r="X19">
        <f>IF((L19+W19)+0.5*H19&lt;=Tables!$B$24,0,IF((L19+W19)+0.5*H19&lt;=Tables!$B$25,MIN(0.5*H19,0.5*((L19+W19)+0.5*H19-Tables!$B$24)),MIN(0.85*H19,0.85*((L19+W19)+0.5*H19-Tables!$B$25)+MIN(Tables!$B$26,0.5*H19))))</f>
        <v/>
      </c>
      <c r="Y19">
        <f>R19+SUMPRODUCT(((MAX(0,L19+W19+X19-(Tables!$B$22+IF(B19&gt;=Tables!$B$27,2*Tables!$B$23,0))))&gt;Tables!$A$31:$A$37)*((MAX(0,L19+W19+X19-(Tables!$B$22+IF(B19&gt;=Tables!$B$27,2*Tables!$B$23,0))))-Tables!$A$31:$A$37)*Tables!$C$31:$C$37)-O19</f>
        <v/>
      </c>
      <c r="Z19">
        <f>IF((L19+Y19)+0.5*H19&lt;=Tables!$B$24,0,IF((L19+Y19)+0.5*H19&lt;=Tables!$B$25,MIN(0.5*H19,0.5*((L19+Y19)+0.5*H19-Tables!$B$24)),MIN(0.85*H19,0.85*((L19+Y19)+0.5*H19-Tables!$B$25)+MIN(Tables!$B$26,0.5*H19))))</f>
        <v/>
      </c>
      <c r="AA19">
        <f>R19+SUMPRODUCT(((MAX(0,L19+Y19+Z19-(Tables!$B$22+IF(B19&gt;=Tables!$B$27,2*Tables!$B$23,0))))&gt;Tables!$A$31:$A$37)*((MAX(0,L19+Y19+Z19-(Tables!$B$22+IF(B19&gt;=Tables!$B$27,2*Tables!$B$23,0))))-Tables!$A$31:$A$37)*Tables!$C$31:$C$37)-O19</f>
        <v/>
      </c>
      <c r="AB19">
        <f>IF((L19+AA19)+0.5*H19&lt;=Tables!$B$24,0,IF((L19+AA19)+0.5*H19&lt;=Tables!$B$25,MIN(0.5*H19,0.5*((L19+AA19)+0.5*H19-Tables!$B$24)),MIN(0.85*H19,0.85*((L19+AA19)+0.5*H19-Tables!$B$25)+MIN(Tables!$B$26,0.5*H19))))</f>
        <v/>
      </c>
      <c r="AC19">
        <f>R19+SUMPRODUCT(((MAX(0,L19+AA19+AB19-(Tables!$B$22+IF(B19&gt;=Tables!$B$27,2*Tables!$B$23,0))))&gt;Tables!$A$31:$A$37)*((MAX(0,L19+AA19+AB19-(Tables!$B$22+IF(B19&gt;=Tables!$B$27,2*Tables!$B$23,0))))-Tables!$A$31:$A$37)*Tables!$C$31:$C$37)-O19</f>
        <v/>
      </c>
      <c r="AD19">
        <f>IF((L19+AC19)+0.5*H19&lt;=Tables!$B$24,0,IF((L19+AC19)+0.5*H19&lt;=Tables!$B$25,MIN(0.5*H19,0.5*((L19+AC19)+0.5*H19-Tables!$B$24)),MIN(0.85*H19,0.85*((L19+AC19)+0.5*H19-Tables!$B$25)+MIN(Tables!$B$26,0.5*H19))))</f>
        <v/>
      </c>
      <c r="AE19">
        <f>R19+SUMPRODUCT(((MAX(0,L19+AC19+AD19-(Tables!$B$22+IF(B19&gt;=Tables!$B$27,2*Tables!$B$23,0))))&gt;Tables!$A$31:$A$37)*((MAX(0,L19+AC19+AD19-(Tables!$B$22+IF(B19&gt;=Tables!$B$27,2*Tables!$B$23,0))))-Tables!$A$31:$A$37)*Tables!$C$31:$C$37)-O19</f>
        <v/>
      </c>
      <c r="AF19">
        <f>IF((L19+AE19)+0.5*H19&lt;=Tables!$B$24,0,IF((L19+AE19)+0.5*H19&lt;=Tables!$B$25,MIN(0.5*H19,0.5*((L19+AE19)+0.5*H19-Tables!$B$24)),MIN(0.85*H19,0.85*((L19+AE19)+0.5*H19-Tables!$B$25)+MIN(Tables!$B$26,0.5*H19))))</f>
        <v/>
      </c>
      <c r="AG19">
        <f>R19+SUMPRODUCT(((MAX(0,L19+AE19+AF19-(Tables!$B$22+IF(B19&gt;=Tables!$B$27,2*Tables!$B$23,0))))&gt;Tables!$A$31:$A$37)*((MAX(0,L19+AE19+AF19-(Tables!$B$22+IF(B19&gt;=Tables!$B$27,2*Tables!$B$23,0))))-Tables!$A$31:$A$37)*Tables!$C$31:$C$37)-O19</f>
        <v/>
      </c>
      <c r="AH19">
        <f>IF((L19+AG19)+0.5*H19&lt;=Tables!$B$24,0,IF((L19+AG19)+0.5*H19&lt;=Tables!$B$25,MIN(0.5*H19,0.5*((L19+AG19)+0.5*H19-Tables!$B$24)),MIN(0.85*H19,0.85*((L19+AG19)+0.5*H19-Tables!$B$25)+MIN(Tables!$B$26,0.5*H19))))</f>
        <v/>
      </c>
      <c r="AI19">
        <f>R19+SUMPRODUCT(((MAX(0,L19+AG19+AH19-(Tables!$B$22+IF(B19&gt;=Tables!$B$27,2*Tables!$B$23,0))))&gt;Tables!$A$31:$A$37)*((MAX(0,L19+AG19+AH19-(Tables!$B$22+IF(B19&gt;=Tables!$B$27,2*Tables!$B$23,0))))-Tables!$A$31:$A$37)*Tables!$C$31:$C$37)-O19</f>
        <v/>
      </c>
      <c r="AJ19">
        <f>IF((L19+AI19)+0.5*H19&lt;=Tables!$B$24,0,IF((L19+AI19)+0.5*H19&lt;=Tables!$B$25,MIN(0.5*H19,0.5*((L19+AI19)+0.5*H19-Tables!$B$24)),MIN(0.85*H19,0.85*((L19+AI19)+0.5*H19-Tables!$B$25)+MIN(Tables!$B$26,0.5*H19))))</f>
        <v/>
      </c>
      <c r="AK19">
        <f>R19+SUMPRODUCT(((MAX(0,L19+AI19+AJ19-(Tables!$B$22+IF(B19&gt;=Tables!$B$27,2*Tables!$B$23,0))))&gt;Tables!$A$31:$A$37)*((MAX(0,L19+AI19+AJ19-(Tables!$B$22+IF(B19&gt;=Tables!$B$27,2*Tables!$B$23,0))))-Tables!$A$31:$A$37)*Tables!$C$31:$C$37)-O19</f>
        <v/>
      </c>
      <c r="AL19">
        <f>IF((L19+AK19)+0.5*H19&lt;=Tables!$B$24,0,IF((L19+AK19)+0.5*H19&lt;=Tables!$B$25,MIN(0.5*H19,0.5*((L19+AK19)+0.5*H19-Tables!$B$24)),MIN(0.85*H19,0.85*((L19+AK19)+0.5*H19-Tables!$B$25)+MIN(Tables!$B$26,0.5*H19))))</f>
        <v/>
      </c>
      <c r="AM19">
        <f>R19+SUMPRODUCT(((MAX(0,L19+AK19+AL19-(Tables!$B$22+IF(B19&gt;=Tables!$B$27,2*Tables!$B$23,0))))&gt;Tables!$A$31:$A$37)*((MAX(0,L19+AK19+AL19-(Tables!$B$22+IF(B19&gt;=Tables!$B$27,2*Tables!$B$23,0))))-Tables!$A$31:$A$37)*Tables!$C$31:$C$37)-O19</f>
        <v/>
      </c>
      <c r="AN19">
        <f>IF((L19+AM19)+0.5*H19&lt;=Tables!$B$24,0,IF((L19+AM19)+0.5*H19&lt;=Tables!$B$25,MIN(0.5*H19,0.5*((L19+AM19)+0.5*H19-Tables!$B$24)),MIN(0.85*H19,0.85*((L19+AM19)+0.5*H19-Tables!$B$25)+MIN(Tables!$B$26,0.5*H19))))</f>
        <v/>
      </c>
      <c r="AO19">
        <f>R19+SUMPRODUCT(((MAX(0,L19+AM19+AN19-(Tables!$B$22+IF(B19&gt;=Tables!$B$27,2*Tables!$B$23,0))))&gt;Tables!$A$31:$A$37)*((MAX(0,L19+AM19+AN19-(Tables!$B$22+IF(B19&gt;=Tables!$B$27,2*Tables!$B$23,0))))-Tables!$A$31:$A$37)*Tables!$C$31:$C$37)-O19</f>
        <v/>
      </c>
      <c r="AP19">
        <f>IF((L19+AO19)+0.5*H19&lt;=Tables!$B$24,0,IF((L19+AO19)+0.5*H19&lt;=Tables!$B$25,MIN(0.5*H19,0.5*((L19+AO19)+0.5*H19-Tables!$B$24)),MIN(0.85*H19,0.85*((L19+AO19)+0.5*H19-Tables!$B$25)+MIN(Tables!$B$26,0.5*H19))))</f>
        <v/>
      </c>
      <c r="AQ19">
        <f>R19+SUMPRODUCT(((MAX(0,L19+AO19+AP19-(Tables!$B$22+IF(B19&gt;=Tables!$B$27,2*Tables!$B$23,0))))&gt;Tables!$A$31:$A$37)*((MAX(0,L19+AO19+AP19-(Tables!$B$22+IF(B19&gt;=Tables!$B$27,2*Tables!$B$23,0))))-Tables!$A$31:$A$37)*Tables!$C$31:$C$37)-O19</f>
        <v/>
      </c>
      <c r="AR19">
        <f>IF((L19+AQ19)+0.5*H19&lt;=Tables!$B$24,0,IF((L19+AQ19)+0.5*H19&lt;=Tables!$B$25,MIN(0.5*H19,0.5*((L19+AQ19)+0.5*H19-Tables!$B$24)),MIN(0.85*H19,0.85*((L19+AQ19)+0.5*H19-Tables!$B$25)+MIN(Tables!$B$26,0.5*H19))))</f>
        <v/>
      </c>
      <c r="AS19">
        <f>R19+SUMPRODUCT(((MAX(0,L19+AQ19+AR19-(Tables!$B$22+IF(B19&gt;=Tables!$B$27,2*Tables!$B$23,0))))&gt;Tables!$A$31:$A$37)*((MAX(0,L19+AQ19+AR19-(Tables!$B$22+IF(B19&gt;=Tables!$B$27,2*Tables!$B$23,0))))-Tables!$A$31:$A$37)*Tables!$C$31:$C$37)-O19</f>
        <v/>
      </c>
      <c r="AT19">
        <f>IF((L19+AS19)+0.5*H19&lt;=Tables!$B$24,0,IF((L19+AS19)+0.5*H19&lt;=Tables!$B$25,MIN(0.5*H19,0.5*((L19+AS19)+0.5*H19-Tables!$B$24)),MIN(0.85*H19,0.85*((L19+AS19)+0.5*H19-Tables!$B$25)+MIN(Tables!$B$26,0.5*H19))))</f>
        <v/>
      </c>
      <c r="AU19">
        <f>R19+SUMPRODUCT(((MAX(0,L19+AS19+AT19-(Tables!$B$22+IF(B19&gt;=Tables!$B$27,2*Tables!$B$23,0))))&gt;Tables!$A$31:$A$37)*((MAX(0,L19+AS19+AT19-(Tables!$B$22+IF(B19&gt;=Tables!$B$27,2*Tables!$B$23,0))))-Tables!$A$31:$A$37)*Tables!$C$31:$C$37)-O19</f>
        <v/>
      </c>
      <c r="AV19">
        <f>IF((L19+AU19)+0.5*H19&lt;=Tables!$B$24,0,IF((L19+AU19)+0.5*H19&lt;=Tables!$B$25,MIN(0.5*H19,0.5*((L19+AU19)+0.5*H19-Tables!$B$24)),MIN(0.85*H19,0.85*((L19+AU19)+0.5*H19-Tables!$B$25)+MIN(Tables!$B$26,0.5*H19))))</f>
        <v/>
      </c>
      <c r="AW19">
        <f>R19+SUMPRODUCT(((MAX(0,L19+AU19+AV19-(Tables!$B$22+IF(B19&gt;=Tables!$B$27,2*Tables!$B$23,0))))&gt;Tables!$A$31:$A$37)*((MAX(0,L19+AU19+AV19-(Tables!$B$22+IF(B19&gt;=Tables!$B$27,2*Tables!$B$23,0))))-Tables!$A$31:$A$37)*Tables!$C$31:$C$37)-O19</f>
        <v/>
      </c>
      <c r="AX19">
        <f>IF((L19+AW19)+0.5*H19&lt;=Tables!$B$24,0,IF((L19+AW19)+0.5*H19&lt;=Tables!$B$25,MIN(0.5*H19,0.5*((L19+AW19)+0.5*H19-Tables!$B$24)),MIN(0.85*H19,0.85*((L19+AW19)+0.5*H19-Tables!$B$25)+MIN(Tables!$B$26,0.5*H19))))</f>
        <v/>
      </c>
      <c r="AY19">
        <f>R19+SUMPRODUCT(((MAX(0,L19+AW19+AX19-(Tables!$B$22+IF(B19&gt;=Tables!$B$27,2*Tables!$B$23,0))))&gt;Tables!$A$31:$A$37)*((MAX(0,L19+AW19+AX19-(Tables!$B$22+IF(B19&gt;=Tables!$B$27,2*Tables!$B$23,0))))-Tables!$A$31:$A$37)*Tables!$C$31:$C$37)-O19</f>
        <v/>
      </c>
      <c r="AZ19">
        <f>IF((L19+AY19)+0.5*H19&lt;=Tables!$B$24,0,IF((L19+AY19)+0.5*H19&lt;=Tables!$B$25,MIN(0.5*H19,0.5*((L19+AY19)+0.5*H19-Tables!$B$24)),MIN(0.85*H19,0.85*((L19+AY19)+0.5*H19-Tables!$B$25)+MIN(Tables!$B$26,0.5*H19))))</f>
        <v/>
      </c>
      <c r="BA19">
        <f>R19+SUMPRODUCT(((MAX(0,L19+AY19+AZ19-(Tables!$B$22+IF(B19&gt;=Tables!$B$27,2*Tables!$B$23,0))))&gt;Tables!$A$31:$A$37)*((MAX(0,L19+AY19+AZ19-(Tables!$B$22+IF(B19&gt;=Tables!$B$27,2*Tables!$B$23,0))))-Tables!$A$31:$A$37)*Tables!$C$31:$C$37)-O19</f>
        <v/>
      </c>
      <c r="BB19">
        <f>IF((L19+BA19)+0.5*H19&lt;=Tables!$B$24,0,IF((L19+BA19)+0.5*H19&lt;=Tables!$B$25,MIN(0.5*H19,0.5*((L19+BA19)+0.5*H19-Tables!$B$24)),MIN(0.85*H19,0.85*((L19+BA19)+0.5*H19-Tables!$B$25)+MIN(Tables!$B$26,0.5*H19))))</f>
        <v/>
      </c>
      <c r="BC19">
        <f>R19+SUMPRODUCT(((MAX(0,L19+BA19+BB19-(Tables!$B$22+IF(B19&gt;=Tables!$B$27,2*Tables!$B$23,0))))&gt;Tables!$A$31:$A$37)*((MAX(0,L19+BA19+BB19-(Tables!$B$22+IF(B19&gt;=Tables!$B$27,2*Tables!$B$23,0))))-Tables!$A$31:$A$37)*Tables!$C$31:$C$37)-O19</f>
        <v/>
      </c>
      <c r="BD19">
        <f>IF((L19+BC19)+0.5*H19&lt;=Tables!$B$24,0,IF((L19+BC19)+0.5*H19&lt;=Tables!$B$25,MIN(0.5*H19,0.5*((L19+BC19)+0.5*H19-Tables!$B$24)),MIN(0.85*H19,0.85*((L19+BC19)+0.5*H19-Tables!$B$25)+MIN(Tables!$B$26,0.5*H19))))</f>
        <v/>
      </c>
      <c r="BE19">
        <f>R19+SUMPRODUCT(((MAX(0,L19+BC19+BD19-(Tables!$B$22+IF(B19&gt;=Tables!$B$27,2*Tables!$B$23,0))))&gt;Tables!$A$31:$A$37)*((MAX(0,L19+BC19+BD19-(Tables!$B$22+IF(B19&gt;=Tables!$B$27,2*Tables!$B$23,0))))-Tables!$A$31:$A$37)*Tables!$C$31:$C$37)-O19</f>
        <v/>
      </c>
      <c r="BF19">
        <f>IF((L19+BE19)+0.5*H19&lt;=Tables!$B$24,0,IF((L19+BE19)+0.5*H19&lt;=Tables!$B$25,MIN(0.5*H19,0.5*((L19+BE19)+0.5*H19-Tables!$B$24)),MIN(0.85*H19,0.85*((L19+BE19)+0.5*H19-Tables!$B$25)+MIN(Tables!$B$26,0.5*H19))))</f>
        <v/>
      </c>
      <c r="BG19">
        <f>R19+SUMPRODUCT(((MAX(0,L19+BE19+BF19-(Tables!$B$22+IF(B19&gt;=Tables!$B$27,2*Tables!$B$23,0))))&gt;Tables!$A$31:$A$37)*((MAX(0,L19+BE19+BF19-(Tables!$B$22+IF(B19&gt;=Tables!$B$27,2*Tables!$B$23,0))))-Tables!$A$31:$A$37)*Tables!$C$31:$C$37)-O19</f>
        <v/>
      </c>
      <c r="BH19">
        <f>IF((L19+BG19)+0.5*H19&lt;=Tables!$B$24,0,IF((L19+BG19)+0.5*H19&lt;=Tables!$B$25,MIN(0.5*H19,0.5*((L19+BG19)+0.5*H19-Tables!$B$24)),MIN(0.85*H19,0.85*((L19+BG19)+0.5*H19-Tables!$B$25)+MIN(Tables!$B$26,0.5*H19))))</f>
        <v/>
      </c>
      <c r="BI19">
        <f>R19+SUMPRODUCT(((MAX(0,L19+BG19+BH19-(Tables!$B$22+IF(B19&gt;=Tables!$B$27,2*Tables!$B$23,0))))&gt;Tables!$A$31:$A$37)*((MAX(0,L19+BG19+BH19-(Tables!$B$22+IF(B19&gt;=Tables!$B$27,2*Tables!$B$23,0))))-Tables!$A$31:$A$37)*Tables!$C$31:$C$37)-O19</f>
        <v/>
      </c>
      <c r="BJ19">
        <f>IF((L19+BI19)+0.5*H19&lt;=Tables!$B$24,0,IF((L19+BI19)+0.5*H19&lt;=Tables!$B$25,MIN(0.5*H19,0.5*((L19+BI19)+0.5*H19-Tables!$B$24)),MIN(0.85*H19,0.85*((L19+BI19)+0.5*H19-Tables!$B$25)+MIN(Tables!$B$26,0.5*H19))))</f>
        <v/>
      </c>
      <c r="BK19">
        <f>R19+SUMPRODUCT(((MAX(0,L19+BI19+BJ19-(Tables!$B$22+IF(B19&gt;=Tables!$B$27,2*Tables!$B$23,0))))&gt;Tables!$A$31:$A$37)*((MAX(0,L19+BI19+BJ19-(Tables!$B$22+IF(B19&gt;=Tables!$B$27,2*Tables!$B$23,0))))-Tables!$A$31:$A$37)*Tables!$C$31:$C$37)-O19</f>
        <v/>
      </c>
      <c r="BL19">
        <f>IF((L19+BK19)+0.5*H19&lt;=Tables!$B$24,0,IF((L19+BK19)+0.5*H19&lt;=Tables!$B$25,MIN(0.5*H19,0.5*((L19+BK19)+0.5*H19-Tables!$B$24)),MIN(0.85*H19,0.85*((L19+BK19)+0.5*H19-Tables!$B$25)+MIN(Tables!$B$26,0.5*H19))))</f>
        <v/>
      </c>
      <c r="BM19">
        <f>R19+SUMPRODUCT(((MAX(0,L19+BK19+BL19-(Tables!$B$22+IF(B19&gt;=Tables!$B$27,2*Tables!$B$23,0))))&gt;Tables!$A$31:$A$37)*((MAX(0,L19+BK19+BL19-(Tables!$B$22+IF(B19&gt;=Tables!$B$27,2*Tables!$B$23,0))))-Tables!$A$31:$A$37)*Tables!$C$31:$C$37)-O19</f>
        <v/>
      </c>
      <c r="BN19">
        <f>IF((L19+BM19)+0.5*H19&lt;=Tables!$B$24,0,IF((L19+BM19)+0.5*H19&lt;=Tables!$B$25,MIN(0.5*H19,0.5*((L19+BM19)+0.5*H19-Tables!$B$24)),MIN(0.85*H19,0.85*((L19+BM19)+0.5*H19-Tables!$B$25)+MIN(Tables!$B$26,0.5*H19))))</f>
        <v/>
      </c>
      <c r="BO19">
        <f>R19+SUMPRODUCT(((MAX(0,L19+BM19+BN19-(Tables!$B$22+IF(B19&gt;=Tables!$B$27,2*Tables!$B$23,0))))&gt;Tables!$A$31:$A$37)*((MAX(0,L19+BM19+BN19-(Tables!$B$22+IF(B19&gt;=Tables!$B$27,2*Tables!$B$23,0))))-Tables!$A$31:$A$37)*Tables!$C$31:$C$37)-O19</f>
        <v/>
      </c>
      <c r="BP19">
        <f>MIN(BO19,S19)</f>
        <v/>
      </c>
      <c r="BQ19">
        <f>L19+BP19</f>
        <v/>
      </c>
      <c r="BR19">
        <f>IF(BQ19+0.5*H19&lt;=Tables!$B$24,0,IF(BQ19+0.5*H19&lt;=Tables!$B$25,MIN(0.5*H19,0.5*(BQ19+0.5*H19-Tables!$B$24)),MIN(0.85*H19,0.85*(BQ19+0.5*H19-Tables!$B$25)+MIN(Tables!$B$26,0.5*H19))))</f>
        <v/>
      </c>
      <c r="BS19">
        <f>MAX(0,BQ19+BR19-(Tables!$B$22+IF(B19&gt;=Tables!$B$27,2*Tables!$B$23,0)))</f>
        <v/>
      </c>
      <c r="BT19">
        <f>SUMPRODUCT(((BS19)&gt;Tables!$A$31:$A$37)*((BS19)-Tables!$A$31:$A$37)*Tables!$C$31:$C$37)</f>
        <v/>
      </c>
      <c r="BU19">
        <f>MAX(0,G19-(H19+BQ19+Q19-BT19))</f>
        <v/>
      </c>
      <c r="BV19">
        <f>MIN(J19,BU19)</f>
        <v/>
      </c>
      <c r="BW19">
        <f>H19+BQ19+Q19+BV19</f>
        <v/>
      </c>
      <c r="BX19">
        <f>MAX(0,BW19-G19-BT19)</f>
        <v/>
      </c>
      <c r="BY19">
        <f>MAX(0,G19+BT19-BW19)</f>
        <v/>
      </c>
      <c r="BZ19">
        <f>IF(C19=0,0,MAX(0,I19-BQ19)*(1+D19))</f>
        <v/>
      </c>
      <c r="CA19">
        <f>IF(C19=0,0,MAX(0,J19-BV19)*(1+D19))</f>
        <v/>
      </c>
      <c r="CB19">
        <f>IF(C19=0,0,MAX(0,K19-Q19+BX19)*(1+D19))</f>
        <v/>
      </c>
      <c r="CC19">
        <f>IF(C19=0,CC18,BZ19+CA19+CB19)</f>
        <v/>
      </c>
      <c r="CD19">
        <f>IF(C19=0,9999,IF(OR(BY19&gt;0.0001,CC19&lt;=0.0001),B19,9999))</f>
        <v/>
      </c>
    </row>
    <row r="20">
      <c r="A20" t="n">
        <v>18</v>
      </c>
      <c r="B20">
        <f>Tables!$B$13+A20</f>
        <v/>
      </c>
      <c r="C20">
        <f>IF(B20&lt;=Tables!$B$18,1,0)</f>
        <v/>
      </c>
      <c r="D20">
        <f>INDEX(Tables!$B$83:$B$123,A20+1)</f>
        <v/>
      </c>
      <c r="E20">
        <f>IF(A20=0,0,INDEX(Tables!$B$83:$B$123,A20))</f>
        <v/>
      </c>
      <c r="F20">
        <f>IF(AND(C20=1,Tables!$B$17="YES",A20&gt;0,E20&lt;Tables!$B$16),Tables!$B$15,0)</f>
        <v/>
      </c>
      <c r="G20">
        <f>IF(C20=0,0,Tables!$B$8-IF(B20&gt;=Tables!$B$7,Tables!$B$6,0)+IF(B20&lt;Tables!$B$27,Tables!$B$9,Tables!$B$10)-F20)</f>
        <v/>
      </c>
      <c r="H20">
        <f>IF(C20=0,0,IF(B20&gt;=Tables!$B$78,Tables!$D$78,0)+IF(B20&gt;=Tables!$C$78,Tables!$E$78,0))</f>
        <v/>
      </c>
      <c r="I20">
        <f>IF(C20=0,0,BZ19)</f>
        <v/>
      </c>
      <c r="J20">
        <f>IF(C20=0,0,CA19)</f>
        <v/>
      </c>
      <c r="K20">
        <f>IF(C20=0,0,CB19)</f>
        <v/>
      </c>
      <c r="L20">
        <f>IF(C20=0,0,IF(B20&gt;=Tables!$B$19,MIN(I20,I20/VLOOKUP(B20,Tables!$A$41:$B$61,2,FALSE)),0))</f>
        <v/>
      </c>
      <c r="M20">
        <f>IF(L20+0.5*H20&lt;=Tables!$B$24,0,IF(L20+0.5*H20&lt;=Tables!$B$25,MIN(0.5*H20,0.5*(L20+0.5*H20-Tables!$B$24)),MIN(0.85*H20,0.85*(L20+0.5*H20-Tables!$B$25)+MIN(Tables!$B$26,0.5*H20))))</f>
        <v/>
      </c>
      <c r="N20">
        <f>MAX(0,L20+M20-(Tables!$B$22+IF(B20&gt;=Tables!$B$27,2*Tables!$B$23,0)))</f>
        <v/>
      </c>
      <c r="O20">
        <f>SUMPRODUCT(((N20)&gt;Tables!$A$31:$A$37)*((N20)-Tables!$A$31:$A$37)*Tables!$C$31:$C$37)</f>
        <v/>
      </c>
      <c r="P20">
        <f>G20-(H20+L20-O20)</f>
        <v/>
      </c>
      <c r="Q20">
        <f>MIN(K20,MAX(0,P20))</f>
        <v/>
      </c>
      <c r="R20">
        <f>MAX(0,P20-Q20)</f>
        <v/>
      </c>
      <c r="S20">
        <f>MAX(0,I20-L20)</f>
        <v/>
      </c>
      <c r="T20">
        <f>IF((L20+R20)+0.5*H20&lt;=Tables!$B$24,0,IF((L20+R20)+0.5*H20&lt;=Tables!$B$25,MIN(0.5*H20,0.5*((L20+R20)+0.5*H20-Tables!$B$24)),MIN(0.85*H20,0.85*((L20+R20)+0.5*H20-Tables!$B$25)+MIN(Tables!$B$26,0.5*H20))))</f>
        <v/>
      </c>
      <c r="U20">
        <f>R20+SUMPRODUCT(((MAX(0,L20+R20+T20-(Tables!$B$22+IF(B20&gt;=Tables!$B$27,2*Tables!$B$23,0))))&gt;Tables!$A$31:$A$37)*((MAX(0,L20+R20+T20-(Tables!$B$22+IF(B20&gt;=Tables!$B$27,2*Tables!$B$23,0))))-Tables!$A$31:$A$37)*Tables!$C$31:$C$37)-O20</f>
        <v/>
      </c>
      <c r="V20">
        <f>IF((L20+U20)+0.5*H20&lt;=Tables!$B$24,0,IF((L20+U20)+0.5*H20&lt;=Tables!$B$25,MIN(0.5*H20,0.5*((L20+U20)+0.5*H20-Tables!$B$24)),MIN(0.85*H20,0.85*((L20+U20)+0.5*H20-Tables!$B$25)+MIN(Tables!$B$26,0.5*H20))))</f>
        <v/>
      </c>
      <c r="W20">
        <f>R20+SUMPRODUCT(((MAX(0,L20+U20+V20-(Tables!$B$22+IF(B20&gt;=Tables!$B$27,2*Tables!$B$23,0))))&gt;Tables!$A$31:$A$37)*((MAX(0,L20+U20+V20-(Tables!$B$22+IF(B20&gt;=Tables!$B$27,2*Tables!$B$23,0))))-Tables!$A$31:$A$37)*Tables!$C$31:$C$37)-O20</f>
        <v/>
      </c>
      <c r="X20">
        <f>IF((L20+W20)+0.5*H20&lt;=Tables!$B$24,0,IF((L20+W20)+0.5*H20&lt;=Tables!$B$25,MIN(0.5*H20,0.5*((L20+W20)+0.5*H20-Tables!$B$24)),MIN(0.85*H20,0.85*((L20+W20)+0.5*H20-Tables!$B$25)+MIN(Tables!$B$26,0.5*H20))))</f>
        <v/>
      </c>
      <c r="Y20">
        <f>R20+SUMPRODUCT(((MAX(0,L20+W20+X20-(Tables!$B$22+IF(B20&gt;=Tables!$B$27,2*Tables!$B$23,0))))&gt;Tables!$A$31:$A$37)*((MAX(0,L20+W20+X20-(Tables!$B$22+IF(B20&gt;=Tables!$B$27,2*Tables!$B$23,0))))-Tables!$A$31:$A$37)*Tables!$C$31:$C$37)-O20</f>
        <v/>
      </c>
      <c r="Z20">
        <f>IF((L20+Y20)+0.5*H20&lt;=Tables!$B$24,0,IF((L20+Y20)+0.5*H20&lt;=Tables!$B$25,MIN(0.5*H20,0.5*((L20+Y20)+0.5*H20-Tables!$B$24)),MIN(0.85*H20,0.85*((L20+Y20)+0.5*H20-Tables!$B$25)+MIN(Tables!$B$26,0.5*H20))))</f>
        <v/>
      </c>
      <c r="AA20">
        <f>R20+SUMPRODUCT(((MAX(0,L20+Y20+Z20-(Tables!$B$22+IF(B20&gt;=Tables!$B$27,2*Tables!$B$23,0))))&gt;Tables!$A$31:$A$37)*((MAX(0,L20+Y20+Z20-(Tables!$B$22+IF(B20&gt;=Tables!$B$27,2*Tables!$B$23,0))))-Tables!$A$31:$A$37)*Tables!$C$31:$C$37)-O20</f>
        <v/>
      </c>
      <c r="AB20">
        <f>IF((L20+AA20)+0.5*H20&lt;=Tables!$B$24,0,IF((L20+AA20)+0.5*H20&lt;=Tables!$B$25,MIN(0.5*H20,0.5*((L20+AA20)+0.5*H20-Tables!$B$24)),MIN(0.85*H20,0.85*((L20+AA20)+0.5*H20-Tables!$B$25)+MIN(Tables!$B$26,0.5*H20))))</f>
        <v/>
      </c>
      <c r="AC20">
        <f>R20+SUMPRODUCT(((MAX(0,L20+AA20+AB20-(Tables!$B$22+IF(B20&gt;=Tables!$B$27,2*Tables!$B$23,0))))&gt;Tables!$A$31:$A$37)*((MAX(0,L20+AA20+AB20-(Tables!$B$22+IF(B20&gt;=Tables!$B$27,2*Tables!$B$23,0))))-Tables!$A$31:$A$37)*Tables!$C$31:$C$37)-O20</f>
        <v/>
      </c>
      <c r="AD20">
        <f>IF((L20+AC20)+0.5*H20&lt;=Tables!$B$24,0,IF((L20+AC20)+0.5*H20&lt;=Tables!$B$25,MIN(0.5*H20,0.5*((L20+AC20)+0.5*H20-Tables!$B$24)),MIN(0.85*H20,0.85*((L20+AC20)+0.5*H20-Tables!$B$25)+MIN(Tables!$B$26,0.5*H20))))</f>
        <v/>
      </c>
      <c r="AE20">
        <f>R20+SUMPRODUCT(((MAX(0,L20+AC20+AD20-(Tables!$B$22+IF(B20&gt;=Tables!$B$27,2*Tables!$B$23,0))))&gt;Tables!$A$31:$A$37)*((MAX(0,L20+AC20+AD20-(Tables!$B$22+IF(B20&gt;=Tables!$B$27,2*Tables!$B$23,0))))-Tables!$A$31:$A$37)*Tables!$C$31:$C$37)-O20</f>
        <v/>
      </c>
      <c r="AF20">
        <f>IF((L20+AE20)+0.5*H20&lt;=Tables!$B$24,0,IF((L20+AE20)+0.5*H20&lt;=Tables!$B$25,MIN(0.5*H20,0.5*((L20+AE20)+0.5*H20-Tables!$B$24)),MIN(0.85*H20,0.85*((L20+AE20)+0.5*H20-Tables!$B$25)+MIN(Tables!$B$26,0.5*H20))))</f>
        <v/>
      </c>
      <c r="AG20">
        <f>R20+SUMPRODUCT(((MAX(0,L20+AE20+AF20-(Tables!$B$22+IF(B20&gt;=Tables!$B$27,2*Tables!$B$23,0))))&gt;Tables!$A$31:$A$37)*((MAX(0,L20+AE20+AF20-(Tables!$B$22+IF(B20&gt;=Tables!$B$27,2*Tables!$B$23,0))))-Tables!$A$31:$A$37)*Tables!$C$31:$C$37)-O20</f>
        <v/>
      </c>
      <c r="AH20">
        <f>IF((L20+AG20)+0.5*H20&lt;=Tables!$B$24,0,IF((L20+AG20)+0.5*H20&lt;=Tables!$B$25,MIN(0.5*H20,0.5*((L20+AG20)+0.5*H20-Tables!$B$24)),MIN(0.85*H20,0.85*((L20+AG20)+0.5*H20-Tables!$B$25)+MIN(Tables!$B$26,0.5*H20))))</f>
        <v/>
      </c>
      <c r="AI20">
        <f>R20+SUMPRODUCT(((MAX(0,L20+AG20+AH20-(Tables!$B$22+IF(B20&gt;=Tables!$B$27,2*Tables!$B$23,0))))&gt;Tables!$A$31:$A$37)*((MAX(0,L20+AG20+AH20-(Tables!$B$22+IF(B20&gt;=Tables!$B$27,2*Tables!$B$23,0))))-Tables!$A$31:$A$37)*Tables!$C$31:$C$37)-O20</f>
        <v/>
      </c>
      <c r="AJ20">
        <f>IF((L20+AI20)+0.5*H20&lt;=Tables!$B$24,0,IF((L20+AI20)+0.5*H20&lt;=Tables!$B$25,MIN(0.5*H20,0.5*((L20+AI20)+0.5*H20-Tables!$B$24)),MIN(0.85*H20,0.85*((L20+AI20)+0.5*H20-Tables!$B$25)+MIN(Tables!$B$26,0.5*H20))))</f>
        <v/>
      </c>
      <c r="AK20">
        <f>R20+SUMPRODUCT(((MAX(0,L20+AI20+AJ20-(Tables!$B$22+IF(B20&gt;=Tables!$B$27,2*Tables!$B$23,0))))&gt;Tables!$A$31:$A$37)*((MAX(0,L20+AI20+AJ20-(Tables!$B$22+IF(B20&gt;=Tables!$B$27,2*Tables!$B$23,0))))-Tables!$A$31:$A$37)*Tables!$C$31:$C$37)-O20</f>
        <v/>
      </c>
      <c r="AL20">
        <f>IF((L20+AK20)+0.5*H20&lt;=Tables!$B$24,0,IF((L20+AK20)+0.5*H20&lt;=Tables!$B$25,MIN(0.5*H20,0.5*((L20+AK20)+0.5*H20-Tables!$B$24)),MIN(0.85*H20,0.85*((L20+AK20)+0.5*H20-Tables!$B$25)+MIN(Tables!$B$26,0.5*H20))))</f>
        <v/>
      </c>
      <c r="AM20">
        <f>R20+SUMPRODUCT(((MAX(0,L20+AK20+AL20-(Tables!$B$22+IF(B20&gt;=Tables!$B$27,2*Tables!$B$23,0))))&gt;Tables!$A$31:$A$37)*((MAX(0,L20+AK20+AL20-(Tables!$B$22+IF(B20&gt;=Tables!$B$27,2*Tables!$B$23,0))))-Tables!$A$31:$A$37)*Tables!$C$31:$C$37)-O20</f>
        <v/>
      </c>
      <c r="AN20">
        <f>IF((L20+AM20)+0.5*H20&lt;=Tables!$B$24,0,IF((L20+AM20)+0.5*H20&lt;=Tables!$B$25,MIN(0.5*H20,0.5*((L20+AM20)+0.5*H20-Tables!$B$24)),MIN(0.85*H20,0.85*((L20+AM20)+0.5*H20-Tables!$B$25)+MIN(Tables!$B$26,0.5*H20))))</f>
        <v/>
      </c>
      <c r="AO20">
        <f>R20+SUMPRODUCT(((MAX(0,L20+AM20+AN20-(Tables!$B$22+IF(B20&gt;=Tables!$B$27,2*Tables!$B$23,0))))&gt;Tables!$A$31:$A$37)*((MAX(0,L20+AM20+AN20-(Tables!$B$22+IF(B20&gt;=Tables!$B$27,2*Tables!$B$23,0))))-Tables!$A$31:$A$37)*Tables!$C$31:$C$37)-O20</f>
        <v/>
      </c>
      <c r="AP20">
        <f>IF((L20+AO20)+0.5*H20&lt;=Tables!$B$24,0,IF((L20+AO20)+0.5*H20&lt;=Tables!$B$25,MIN(0.5*H20,0.5*((L20+AO20)+0.5*H20-Tables!$B$24)),MIN(0.85*H20,0.85*((L20+AO20)+0.5*H20-Tables!$B$25)+MIN(Tables!$B$26,0.5*H20))))</f>
        <v/>
      </c>
      <c r="AQ20">
        <f>R20+SUMPRODUCT(((MAX(0,L20+AO20+AP20-(Tables!$B$22+IF(B20&gt;=Tables!$B$27,2*Tables!$B$23,0))))&gt;Tables!$A$31:$A$37)*((MAX(0,L20+AO20+AP20-(Tables!$B$22+IF(B20&gt;=Tables!$B$27,2*Tables!$B$23,0))))-Tables!$A$31:$A$37)*Tables!$C$31:$C$37)-O20</f>
        <v/>
      </c>
      <c r="AR20">
        <f>IF((L20+AQ20)+0.5*H20&lt;=Tables!$B$24,0,IF((L20+AQ20)+0.5*H20&lt;=Tables!$B$25,MIN(0.5*H20,0.5*((L20+AQ20)+0.5*H20-Tables!$B$24)),MIN(0.85*H20,0.85*((L20+AQ20)+0.5*H20-Tables!$B$25)+MIN(Tables!$B$26,0.5*H20))))</f>
        <v/>
      </c>
      <c r="AS20">
        <f>R20+SUMPRODUCT(((MAX(0,L20+AQ20+AR20-(Tables!$B$22+IF(B20&gt;=Tables!$B$27,2*Tables!$B$23,0))))&gt;Tables!$A$31:$A$37)*((MAX(0,L20+AQ20+AR20-(Tables!$B$22+IF(B20&gt;=Tables!$B$27,2*Tables!$B$23,0))))-Tables!$A$31:$A$37)*Tables!$C$31:$C$37)-O20</f>
        <v/>
      </c>
      <c r="AT20">
        <f>IF((L20+AS20)+0.5*H20&lt;=Tables!$B$24,0,IF((L20+AS20)+0.5*H20&lt;=Tables!$B$25,MIN(0.5*H20,0.5*((L20+AS20)+0.5*H20-Tables!$B$24)),MIN(0.85*H20,0.85*((L20+AS20)+0.5*H20-Tables!$B$25)+MIN(Tables!$B$26,0.5*H20))))</f>
        <v/>
      </c>
      <c r="AU20">
        <f>R20+SUMPRODUCT(((MAX(0,L20+AS20+AT20-(Tables!$B$22+IF(B20&gt;=Tables!$B$27,2*Tables!$B$23,0))))&gt;Tables!$A$31:$A$37)*((MAX(0,L20+AS20+AT20-(Tables!$B$22+IF(B20&gt;=Tables!$B$27,2*Tables!$B$23,0))))-Tables!$A$31:$A$37)*Tables!$C$31:$C$37)-O20</f>
        <v/>
      </c>
      <c r="AV20">
        <f>IF((L20+AU20)+0.5*H20&lt;=Tables!$B$24,0,IF((L20+AU20)+0.5*H20&lt;=Tables!$B$25,MIN(0.5*H20,0.5*((L20+AU20)+0.5*H20-Tables!$B$24)),MIN(0.85*H20,0.85*((L20+AU20)+0.5*H20-Tables!$B$25)+MIN(Tables!$B$26,0.5*H20))))</f>
        <v/>
      </c>
      <c r="AW20">
        <f>R20+SUMPRODUCT(((MAX(0,L20+AU20+AV20-(Tables!$B$22+IF(B20&gt;=Tables!$B$27,2*Tables!$B$23,0))))&gt;Tables!$A$31:$A$37)*((MAX(0,L20+AU20+AV20-(Tables!$B$22+IF(B20&gt;=Tables!$B$27,2*Tables!$B$23,0))))-Tables!$A$31:$A$37)*Tables!$C$31:$C$37)-O20</f>
        <v/>
      </c>
      <c r="AX20">
        <f>IF((L20+AW20)+0.5*H20&lt;=Tables!$B$24,0,IF((L20+AW20)+0.5*H20&lt;=Tables!$B$25,MIN(0.5*H20,0.5*((L20+AW20)+0.5*H20-Tables!$B$24)),MIN(0.85*H20,0.85*((L20+AW20)+0.5*H20-Tables!$B$25)+MIN(Tables!$B$26,0.5*H20))))</f>
        <v/>
      </c>
      <c r="AY20">
        <f>R20+SUMPRODUCT(((MAX(0,L20+AW20+AX20-(Tables!$B$22+IF(B20&gt;=Tables!$B$27,2*Tables!$B$23,0))))&gt;Tables!$A$31:$A$37)*((MAX(0,L20+AW20+AX20-(Tables!$B$22+IF(B20&gt;=Tables!$B$27,2*Tables!$B$23,0))))-Tables!$A$31:$A$37)*Tables!$C$31:$C$37)-O20</f>
        <v/>
      </c>
      <c r="AZ20">
        <f>IF((L20+AY20)+0.5*H20&lt;=Tables!$B$24,0,IF((L20+AY20)+0.5*H20&lt;=Tables!$B$25,MIN(0.5*H20,0.5*((L20+AY20)+0.5*H20-Tables!$B$24)),MIN(0.85*H20,0.85*((L20+AY20)+0.5*H20-Tables!$B$25)+MIN(Tables!$B$26,0.5*H20))))</f>
        <v/>
      </c>
      <c r="BA20">
        <f>R20+SUMPRODUCT(((MAX(0,L20+AY20+AZ20-(Tables!$B$22+IF(B20&gt;=Tables!$B$27,2*Tables!$B$23,0))))&gt;Tables!$A$31:$A$37)*((MAX(0,L20+AY20+AZ20-(Tables!$B$22+IF(B20&gt;=Tables!$B$27,2*Tables!$B$23,0))))-Tables!$A$31:$A$37)*Tables!$C$31:$C$37)-O20</f>
        <v/>
      </c>
      <c r="BB20">
        <f>IF((L20+BA20)+0.5*H20&lt;=Tables!$B$24,0,IF((L20+BA20)+0.5*H20&lt;=Tables!$B$25,MIN(0.5*H20,0.5*((L20+BA20)+0.5*H20-Tables!$B$24)),MIN(0.85*H20,0.85*((L20+BA20)+0.5*H20-Tables!$B$25)+MIN(Tables!$B$26,0.5*H20))))</f>
        <v/>
      </c>
      <c r="BC20">
        <f>R20+SUMPRODUCT(((MAX(0,L20+BA20+BB20-(Tables!$B$22+IF(B20&gt;=Tables!$B$27,2*Tables!$B$23,0))))&gt;Tables!$A$31:$A$37)*((MAX(0,L20+BA20+BB20-(Tables!$B$22+IF(B20&gt;=Tables!$B$27,2*Tables!$B$23,0))))-Tables!$A$31:$A$37)*Tables!$C$31:$C$37)-O20</f>
        <v/>
      </c>
      <c r="BD20">
        <f>IF((L20+BC20)+0.5*H20&lt;=Tables!$B$24,0,IF((L20+BC20)+0.5*H20&lt;=Tables!$B$25,MIN(0.5*H20,0.5*((L20+BC20)+0.5*H20-Tables!$B$24)),MIN(0.85*H20,0.85*((L20+BC20)+0.5*H20-Tables!$B$25)+MIN(Tables!$B$26,0.5*H20))))</f>
        <v/>
      </c>
      <c r="BE20">
        <f>R20+SUMPRODUCT(((MAX(0,L20+BC20+BD20-(Tables!$B$22+IF(B20&gt;=Tables!$B$27,2*Tables!$B$23,0))))&gt;Tables!$A$31:$A$37)*((MAX(0,L20+BC20+BD20-(Tables!$B$22+IF(B20&gt;=Tables!$B$27,2*Tables!$B$23,0))))-Tables!$A$31:$A$37)*Tables!$C$31:$C$37)-O20</f>
        <v/>
      </c>
      <c r="BF20">
        <f>IF((L20+BE20)+0.5*H20&lt;=Tables!$B$24,0,IF((L20+BE20)+0.5*H20&lt;=Tables!$B$25,MIN(0.5*H20,0.5*((L20+BE20)+0.5*H20-Tables!$B$24)),MIN(0.85*H20,0.85*((L20+BE20)+0.5*H20-Tables!$B$25)+MIN(Tables!$B$26,0.5*H20))))</f>
        <v/>
      </c>
      <c r="BG20">
        <f>R20+SUMPRODUCT(((MAX(0,L20+BE20+BF20-(Tables!$B$22+IF(B20&gt;=Tables!$B$27,2*Tables!$B$23,0))))&gt;Tables!$A$31:$A$37)*((MAX(0,L20+BE20+BF20-(Tables!$B$22+IF(B20&gt;=Tables!$B$27,2*Tables!$B$23,0))))-Tables!$A$31:$A$37)*Tables!$C$31:$C$37)-O20</f>
        <v/>
      </c>
      <c r="BH20">
        <f>IF((L20+BG20)+0.5*H20&lt;=Tables!$B$24,0,IF((L20+BG20)+0.5*H20&lt;=Tables!$B$25,MIN(0.5*H20,0.5*((L20+BG20)+0.5*H20-Tables!$B$24)),MIN(0.85*H20,0.85*((L20+BG20)+0.5*H20-Tables!$B$25)+MIN(Tables!$B$26,0.5*H20))))</f>
        <v/>
      </c>
      <c r="BI20">
        <f>R20+SUMPRODUCT(((MAX(0,L20+BG20+BH20-(Tables!$B$22+IF(B20&gt;=Tables!$B$27,2*Tables!$B$23,0))))&gt;Tables!$A$31:$A$37)*((MAX(0,L20+BG20+BH20-(Tables!$B$22+IF(B20&gt;=Tables!$B$27,2*Tables!$B$23,0))))-Tables!$A$31:$A$37)*Tables!$C$31:$C$37)-O20</f>
        <v/>
      </c>
      <c r="BJ20">
        <f>IF((L20+BI20)+0.5*H20&lt;=Tables!$B$24,0,IF((L20+BI20)+0.5*H20&lt;=Tables!$B$25,MIN(0.5*H20,0.5*((L20+BI20)+0.5*H20-Tables!$B$24)),MIN(0.85*H20,0.85*((L20+BI20)+0.5*H20-Tables!$B$25)+MIN(Tables!$B$26,0.5*H20))))</f>
        <v/>
      </c>
      <c r="BK20">
        <f>R20+SUMPRODUCT(((MAX(0,L20+BI20+BJ20-(Tables!$B$22+IF(B20&gt;=Tables!$B$27,2*Tables!$B$23,0))))&gt;Tables!$A$31:$A$37)*((MAX(0,L20+BI20+BJ20-(Tables!$B$22+IF(B20&gt;=Tables!$B$27,2*Tables!$B$23,0))))-Tables!$A$31:$A$37)*Tables!$C$31:$C$37)-O20</f>
        <v/>
      </c>
      <c r="BL20">
        <f>IF((L20+BK20)+0.5*H20&lt;=Tables!$B$24,0,IF((L20+BK20)+0.5*H20&lt;=Tables!$B$25,MIN(0.5*H20,0.5*((L20+BK20)+0.5*H20-Tables!$B$24)),MIN(0.85*H20,0.85*((L20+BK20)+0.5*H20-Tables!$B$25)+MIN(Tables!$B$26,0.5*H20))))</f>
        <v/>
      </c>
      <c r="BM20">
        <f>R20+SUMPRODUCT(((MAX(0,L20+BK20+BL20-(Tables!$B$22+IF(B20&gt;=Tables!$B$27,2*Tables!$B$23,0))))&gt;Tables!$A$31:$A$37)*((MAX(0,L20+BK20+BL20-(Tables!$B$22+IF(B20&gt;=Tables!$B$27,2*Tables!$B$23,0))))-Tables!$A$31:$A$37)*Tables!$C$31:$C$37)-O20</f>
        <v/>
      </c>
      <c r="BN20">
        <f>IF((L20+BM20)+0.5*H20&lt;=Tables!$B$24,0,IF((L20+BM20)+0.5*H20&lt;=Tables!$B$25,MIN(0.5*H20,0.5*((L20+BM20)+0.5*H20-Tables!$B$24)),MIN(0.85*H20,0.85*((L20+BM20)+0.5*H20-Tables!$B$25)+MIN(Tables!$B$26,0.5*H20))))</f>
        <v/>
      </c>
      <c r="BO20">
        <f>R20+SUMPRODUCT(((MAX(0,L20+BM20+BN20-(Tables!$B$22+IF(B20&gt;=Tables!$B$27,2*Tables!$B$23,0))))&gt;Tables!$A$31:$A$37)*((MAX(0,L20+BM20+BN20-(Tables!$B$22+IF(B20&gt;=Tables!$B$27,2*Tables!$B$23,0))))-Tables!$A$31:$A$37)*Tables!$C$31:$C$37)-O20</f>
        <v/>
      </c>
      <c r="BP20">
        <f>MIN(BO20,S20)</f>
        <v/>
      </c>
      <c r="BQ20">
        <f>L20+BP20</f>
        <v/>
      </c>
      <c r="BR20">
        <f>IF(BQ20+0.5*H20&lt;=Tables!$B$24,0,IF(BQ20+0.5*H20&lt;=Tables!$B$25,MIN(0.5*H20,0.5*(BQ20+0.5*H20-Tables!$B$24)),MIN(0.85*H20,0.85*(BQ20+0.5*H20-Tables!$B$25)+MIN(Tables!$B$26,0.5*H20))))</f>
        <v/>
      </c>
      <c r="BS20">
        <f>MAX(0,BQ20+BR20-(Tables!$B$22+IF(B20&gt;=Tables!$B$27,2*Tables!$B$23,0)))</f>
        <v/>
      </c>
      <c r="BT20">
        <f>SUMPRODUCT(((BS20)&gt;Tables!$A$31:$A$37)*((BS20)-Tables!$A$31:$A$37)*Tables!$C$31:$C$37)</f>
        <v/>
      </c>
      <c r="BU20">
        <f>MAX(0,G20-(H20+BQ20+Q20-BT20))</f>
        <v/>
      </c>
      <c r="BV20">
        <f>MIN(J20,BU20)</f>
        <v/>
      </c>
      <c r="BW20">
        <f>H20+BQ20+Q20+BV20</f>
        <v/>
      </c>
      <c r="BX20">
        <f>MAX(0,BW20-G20-BT20)</f>
        <v/>
      </c>
      <c r="BY20">
        <f>MAX(0,G20+BT20-BW20)</f>
        <v/>
      </c>
      <c r="BZ20">
        <f>IF(C20=0,0,MAX(0,I20-BQ20)*(1+D20))</f>
        <v/>
      </c>
      <c r="CA20">
        <f>IF(C20=0,0,MAX(0,J20-BV20)*(1+D20))</f>
        <v/>
      </c>
      <c r="CB20">
        <f>IF(C20=0,0,MAX(0,K20-Q20+BX20)*(1+D20))</f>
        <v/>
      </c>
      <c r="CC20">
        <f>IF(C20=0,CC19,BZ20+CA20+CB20)</f>
        <v/>
      </c>
      <c r="CD20">
        <f>IF(C20=0,9999,IF(OR(BY20&gt;0.0001,CC20&lt;=0.0001),B20,9999))</f>
        <v/>
      </c>
    </row>
    <row r="21">
      <c r="A21" t="n">
        <v>19</v>
      </c>
      <c r="B21">
        <f>Tables!$B$13+A21</f>
        <v/>
      </c>
      <c r="C21">
        <f>IF(B21&lt;=Tables!$B$18,1,0)</f>
        <v/>
      </c>
      <c r="D21">
        <f>INDEX(Tables!$B$83:$B$123,A21+1)</f>
        <v/>
      </c>
      <c r="E21">
        <f>IF(A21=0,0,INDEX(Tables!$B$83:$B$123,A21))</f>
        <v/>
      </c>
      <c r="F21">
        <f>IF(AND(C21=1,Tables!$B$17="YES",A21&gt;0,E21&lt;Tables!$B$16),Tables!$B$15,0)</f>
        <v/>
      </c>
      <c r="G21">
        <f>IF(C21=0,0,Tables!$B$8-IF(B21&gt;=Tables!$B$7,Tables!$B$6,0)+IF(B21&lt;Tables!$B$27,Tables!$B$9,Tables!$B$10)-F21)</f>
        <v/>
      </c>
      <c r="H21">
        <f>IF(C21=0,0,IF(B21&gt;=Tables!$B$78,Tables!$D$78,0)+IF(B21&gt;=Tables!$C$78,Tables!$E$78,0))</f>
        <v/>
      </c>
      <c r="I21">
        <f>IF(C21=0,0,BZ20)</f>
        <v/>
      </c>
      <c r="J21">
        <f>IF(C21=0,0,CA20)</f>
        <v/>
      </c>
      <c r="K21">
        <f>IF(C21=0,0,CB20)</f>
        <v/>
      </c>
      <c r="L21">
        <f>IF(C21=0,0,IF(B21&gt;=Tables!$B$19,MIN(I21,I21/VLOOKUP(B21,Tables!$A$41:$B$61,2,FALSE)),0))</f>
        <v/>
      </c>
      <c r="M21">
        <f>IF(L21+0.5*H21&lt;=Tables!$B$24,0,IF(L21+0.5*H21&lt;=Tables!$B$25,MIN(0.5*H21,0.5*(L21+0.5*H21-Tables!$B$24)),MIN(0.85*H21,0.85*(L21+0.5*H21-Tables!$B$25)+MIN(Tables!$B$26,0.5*H21))))</f>
        <v/>
      </c>
      <c r="N21">
        <f>MAX(0,L21+M21-(Tables!$B$22+IF(B21&gt;=Tables!$B$27,2*Tables!$B$23,0)))</f>
        <v/>
      </c>
      <c r="O21">
        <f>SUMPRODUCT(((N21)&gt;Tables!$A$31:$A$37)*((N21)-Tables!$A$31:$A$37)*Tables!$C$31:$C$37)</f>
        <v/>
      </c>
      <c r="P21">
        <f>G21-(H21+L21-O21)</f>
        <v/>
      </c>
      <c r="Q21">
        <f>MIN(K21,MAX(0,P21))</f>
        <v/>
      </c>
      <c r="R21">
        <f>MAX(0,P21-Q21)</f>
        <v/>
      </c>
      <c r="S21">
        <f>MAX(0,I21-L21)</f>
        <v/>
      </c>
      <c r="T21">
        <f>IF((L21+R21)+0.5*H21&lt;=Tables!$B$24,0,IF((L21+R21)+0.5*H21&lt;=Tables!$B$25,MIN(0.5*H21,0.5*((L21+R21)+0.5*H21-Tables!$B$24)),MIN(0.85*H21,0.85*((L21+R21)+0.5*H21-Tables!$B$25)+MIN(Tables!$B$26,0.5*H21))))</f>
        <v/>
      </c>
      <c r="U21">
        <f>R21+SUMPRODUCT(((MAX(0,L21+R21+T21-(Tables!$B$22+IF(B21&gt;=Tables!$B$27,2*Tables!$B$23,0))))&gt;Tables!$A$31:$A$37)*((MAX(0,L21+R21+T21-(Tables!$B$22+IF(B21&gt;=Tables!$B$27,2*Tables!$B$23,0))))-Tables!$A$31:$A$37)*Tables!$C$31:$C$37)-O21</f>
        <v/>
      </c>
      <c r="V21">
        <f>IF((L21+U21)+0.5*H21&lt;=Tables!$B$24,0,IF((L21+U21)+0.5*H21&lt;=Tables!$B$25,MIN(0.5*H21,0.5*((L21+U21)+0.5*H21-Tables!$B$24)),MIN(0.85*H21,0.85*((L21+U21)+0.5*H21-Tables!$B$25)+MIN(Tables!$B$26,0.5*H21))))</f>
        <v/>
      </c>
      <c r="W21">
        <f>R21+SUMPRODUCT(((MAX(0,L21+U21+V21-(Tables!$B$22+IF(B21&gt;=Tables!$B$27,2*Tables!$B$23,0))))&gt;Tables!$A$31:$A$37)*((MAX(0,L21+U21+V21-(Tables!$B$22+IF(B21&gt;=Tables!$B$27,2*Tables!$B$23,0))))-Tables!$A$31:$A$37)*Tables!$C$31:$C$37)-O21</f>
        <v/>
      </c>
      <c r="X21">
        <f>IF((L21+W21)+0.5*H21&lt;=Tables!$B$24,0,IF((L21+W21)+0.5*H21&lt;=Tables!$B$25,MIN(0.5*H21,0.5*((L21+W21)+0.5*H21-Tables!$B$24)),MIN(0.85*H21,0.85*((L21+W21)+0.5*H21-Tables!$B$25)+MIN(Tables!$B$26,0.5*H21))))</f>
        <v/>
      </c>
      <c r="Y21">
        <f>R21+SUMPRODUCT(((MAX(0,L21+W21+X21-(Tables!$B$22+IF(B21&gt;=Tables!$B$27,2*Tables!$B$23,0))))&gt;Tables!$A$31:$A$37)*((MAX(0,L21+W21+X21-(Tables!$B$22+IF(B21&gt;=Tables!$B$27,2*Tables!$B$23,0))))-Tables!$A$31:$A$37)*Tables!$C$31:$C$37)-O21</f>
        <v/>
      </c>
      <c r="Z21">
        <f>IF((L21+Y21)+0.5*H21&lt;=Tables!$B$24,0,IF((L21+Y21)+0.5*H21&lt;=Tables!$B$25,MIN(0.5*H21,0.5*((L21+Y21)+0.5*H21-Tables!$B$24)),MIN(0.85*H21,0.85*((L21+Y21)+0.5*H21-Tables!$B$25)+MIN(Tables!$B$26,0.5*H21))))</f>
        <v/>
      </c>
      <c r="AA21">
        <f>R21+SUMPRODUCT(((MAX(0,L21+Y21+Z21-(Tables!$B$22+IF(B21&gt;=Tables!$B$27,2*Tables!$B$23,0))))&gt;Tables!$A$31:$A$37)*((MAX(0,L21+Y21+Z21-(Tables!$B$22+IF(B21&gt;=Tables!$B$27,2*Tables!$B$23,0))))-Tables!$A$31:$A$37)*Tables!$C$31:$C$37)-O21</f>
        <v/>
      </c>
      <c r="AB21">
        <f>IF((L21+AA21)+0.5*H21&lt;=Tables!$B$24,0,IF((L21+AA21)+0.5*H21&lt;=Tables!$B$25,MIN(0.5*H21,0.5*((L21+AA21)+0.5*H21-Tables!$B$24)),MIN(0.85*H21,0.85*((L21+AA21)+0.5*H21-Tables!$B$25)+MIN(Tables!$B$26,0.5*H21))))</f>
        <v/>
      </c>
      <c r="AC21">
        <f>R21+SUMPRODUCT(((MAX(0,L21+AA21+AB21-(Tables!$B$22+IF(B21&gt;=Tables!$B$27,2*Tables!$B$23,0))))&gt;Tables!$A$31:$A$37)*((MAX(0,L21+AA21+AB21-(Tables!$B$22+IF(B21&gt;=Tables!$B$27,2*Tables!$B$23,0))))-Tables!$A$31:$A$37)*Tables!$C$31:$C$37)-O21</f>
        <v/>
      </c>
      <c r="AD21">
        <f>IF((L21+AC21)+0.5*H21&lt;=Tables!$B$24,0,IF((L21+AC21)+0.5*H21&lt;=Tables!$B$25,MIN(0.5*H21,0.5*((L21+AC21)+0.5*H21-Tables!$B$24)),MIN(0.85*H21,0.85*((L21+AC21)+0.5*H21-Tables!$B$25)+MIN(Tables!$B$26,0.5*H21))))</f>
        <v/>
      </c>
      <c r="AE21">
        <f>R21+SUMPRODUCT(((MAX(0,L21+AC21+AD21-(Tables!$B$22+IF(B21&gt;=Tables!$B$27,2*Tables!$B$23,0))))&gt;Tables!$A$31:$A$37)*((MAX(0,L21+AC21+AD21-(Tables!$B$22+IF(B21&gt;=Tables!$B$27,2*Tables!$B$23,0))))-Tables!$A$31:$A$37)*Tables!$C$31:$C$37)-O21</f>
        <v/>
      </c>
      <c r="AF21">
        <f>IF((L21+AE21)+0.5*H21&lt;=Tables!$B$24,0,IF((L21+AE21)+0.5*H21&lt;=Tables!$B$25,MIN(0.5*H21,0.5*((L21+AE21)+0.5*H21-Tables!$B$24)),MIN(0.85*H21,0.85*((L21+AE21)+0.5*H21-Tables!$B$25)+MIN(Tables!$B$26,0.5*H21))))</f>
        <v/>
      </c>
      <c r="AG21">
        <f>R21+SUMPRODUCT(((MAX(0,L21+AE21+AF21-(Tables!$B$22+IF(B21&gt;=Tables!$B$27,2*Tables!$B$23,0))))&gt;Tables!$A$31:$A$37)*((MAX(0,L21+AE21+AF21-(Tables!$B$22+IF(B21&gt;=Tables!$B$27,2*Tables!$B$23,0))))-Tables!$A$31:$A$37)*Tables!$C$31:$C$37)-O21</f>
        <v/>
      </c>
      <c r="AH21">
        <f>IF((L21+AG21)+0.5*H21&lt;=Tables!$B$24,0,IF((L21+AG21)+0.5*H21&lt;=Tables!$B$25,MIN(0.5*H21,0.5*((L21+AG21)+0.5*H21-Tables!$B$24)),MIN(0.85*H21,0.85*((L21+AG21)+0.5*H21-Tables!$B$25)+MIN(Tables!$B$26,0.5*H21))))</f>
        <v/>
      </c>
      <c r="AI21">
        <f>R21+SUMPRODUCT(((MAX(0,L21+AG21+AH21-(Tables!$B$22+IF(B21&gt;=Tables!$B$27,2*Tables!$B$23,0))))&gt;Tables!$A$31:$A$37)*((MAX(0,L21+AG21+AH21-(Tables!$B$22+IF(B21&gt;=Tables!$B$27,2*Tables!$B$23,0))))-Tables!$A$31:$A$37)*Tables!$C$31:$C$37)-O21</f>
        <v/>
      </c>
      <c r="AJ21">
        <f>IF((L21+AI21)+0.5*H21&lt;=Tables!$B$24,0,IF((L21+AI21)+0.5*H21&lt;=Tables!$B$25,MIN(0.5*H21,0.5*((L21+AI21)+0.5*H21-Tables!$B$24)),MIN(0.85*H21,0.85*((L21+AI21)+0.5*H21-Tables!$B$25)+MIN(Tables!$B$26,0.5*H21))))</f>
        <v/>
      </c>
      <c r="AK21">
        <f>R21+SUMPRODUCT(((MAX(0,L21+AI21+AJ21-(Tables!$B$22+IF(B21&gt;=Tables!$B$27,2*Tables!$B$23,0))))&gt;Tables!$A$31:$A$37)*((MAX(0,L21+AI21+AJ21-(Tables!$B$22+IF(B21&gt;=Tables!$B$27,2*Tables!$B$23,0))))-Tables!$A$31:$A$37)*Tables!$C$31:$C$37)-O21</f>
        <v/>
      </c>
      <c r="AL21">
        <f>IF((L21+AK21)+0.5*H21&lt;=Tables!$B$24,0,IF((L21+AK21)+0.5*H21&lt;=Tables!$B$25,MIN(0.5*H21,0.5*((L21+AK21)+0.5*H21-Tables!$B$24)),MIN(0.85*H21,0.85*((L21+AK21)+0.5*H21-Tables!$B$25)+MIN(Tables!$B$26,0.5*H21))))</f>
        <v/>
      </c>
      <c r="AM21">
        <f>R21+SUMPRODUCT(((MAX(0,L21+AK21+AL21-(Tables!$B$22+IF(B21&gt;=Tables!$B$27,2*Tables!$B$23,0))))&gt;Tables!$A$31:$A$37)*((MAX(0,L21+AK21+AL21-(Tables!$B$22+IF(B21&gt;=Tables!$B$27,2*Tables!$B$23,0))))-Tables!$A$31:$A$37)*Tables!$C$31:$C$37)-O21</f>
        <v/>
      </c>
      <c r="AN21">
        <f>IF((L21+AM21)+0.5*H21&lt;=Tables!$B$24,0,IF((L21+AM21)+0.5*H21&lt;=Tables!$B$25,MIN(0.5*H21,0.5*((L21+AM21)+0.5*H21-Tables!$B$24)),MIN(0.85*H21,0.85*((L21+AM21)+0.5*H21-Tables!$B$25)+MIN(Tables!$B$26,0.5*H21))))</f>
        <v/>
      </c>
      <c r="AO21">
        <f>R21+SUMPRODUCT(((MAX(0,L21+AM21+AN21-(Tables!$B$22+IF(B21&gt;=Tables!$B$27,2*Tables!$B$23,0))))&gt;Tables!$A$31:$A$37)*((MAX(0,L21+AM21+AN21-(Tables!$B$22+IF(B21&gt;=Tables!$B$27,2*Tables!$B$23,0))))-Tables!$A$31:$A$37)*Tables!$C$31:$C$37)-O21</f>
        <v/>
      </c>
      <c r="AP21">
        <f>IF((L21+AO21)+0.5*H21&lt;=Tables!$B$24,0,IF((L21+AO21)+0.5*H21&lt;=Tables!$B$25,MIN(0.5*H21,0.5*((L21+AO21)+0.5*H21-Tables!$B$24)),MIN(0.85*H21,0.85*((L21+AO21)+0.5*H21-Tables!$B$25)+MIN(Tables!$B$26,0.5*H21))))</f>
        <v/>
      </c>
      <c r="AQ21">
        <f>R21+SUMPRODUCT(((MAX(0,L21+AO21+AP21-(Tables!$B$22+IF(B21&gt;=Tables!$B$27,2*Tables!$B$23,0))))&gt;Tables!$A$31:$A$37)*((MAX(0,L21+AO21+AP21-(Tables!$B$22+IF(B21&gt;=Tables!$B$27,2*Tables!$B$23,0))))-Tables!$A$31:$A$37)*Tables!$C$31:$C$37)-O21</f>
        <v/>
      </c>
      <c r="AR21">
        <f>IF((L21+AQ21)+0.5*H21&lt;=Tables!$B$24,0,IF((L21+AQ21)+0.5*H21&lt;=Tables!$B$25,MIN(0.5*H21,0.5*((L21+AQ21)+0.5*H21-Tables!$B$24)),MIN(0.85*H21,0.85*((L21+AQ21)+0.5*H21-Tables!$B$25)+MIN(Tables!$B$26,0.5*H21))))</f>
        <v/>
      </c>
      <c r="AS21">
        <f>R21+SUMPRODUCT(((MAX(0,L21+AQ21+AR21-(Tables!$B$22+IF(B21&gt;=Tables!$B$27,2*Tables!$B$23,0))))&gt;Tables!$A$31:$A$37)*((MAX(0,L21+AQ21+AR21-(Tables!$B$22+IF(B21&gt;=Tables!$B$27,2*Tables!$B$23,0))))-Tables!$A$31:$A$37)*Tables!$C$31:$C$37)-O21</f>
        <v/>
      </c>
      <c r="AT21">
        <f>IF((L21+AS21)+0.5*H21&lt;=Tables!$B$24,0,IF((L21+AS21)+0.5*H21&lt;=Tables!$B$25,MIN(0.5*H21,0.5*((L21+AS21)+0.5*H21-Tables!$B$24)),MIN(0.85*H21,0.85*((L21+AS21)+0.5*H21-Tables!$B$25)+MIN(Tables!$B$26,0.5*H21))))</f>
        <v/>
      </c>
      <c r="AU21">
        <f>R21+SUMPRODUCT(((MAX(0,L21+AS21+AT21-(Tables!$B$22+IF(B21&gt;=Tables!$B$27,2*Tables!$B$23,0))))&gt;Tables!$A$31:$A$37)*((MAX(0,L21+AS21+AT21-(Tables!$B$22+IF(B21&gt;=Tables!$B$27,2*Tables!$B$23,0))))-Tables!$A$31:$A$37)*Tables!$C$31:$C$37)-O21</f>
        <v/>
      </c>
      <c r="AV21">
        <f>IF((L21+AU21)+0.5*H21&lt;=Tables!$B$24,0,IF((L21+AU21)+0.5*H21&lt;=Tables!$B$25,MIN(0.5*H21,0.5*((L21+AU21)+0.5*H21-Tables!$B$24)),MIN(0.85*H21,0.85*((L21+AU21)+0.5*H21-Tables!$B$25)+MIN(Tables!$B$26,0.5*H21))))</f>
        <v/>
      </c>
      <c r="AW21">
        <f>R21+SUMPRODUCT(((MAX(0,L21+AU21+AV21-(Tables!$B$22+IF(B21&gt;=Tables!$B$27,2*Tables!$B$23,0))))&gt;Tables!$A$31:$A$37)*((MAX(0,L21+AU21+AV21-(Tables!$B$22+IF(B21&gt;=Tables!$B$27,2*Tables!$B$23,0))))-Tables!$A$31:$A$37)*Tables!$C$31:$C$37)-O21</f>
        <v/>
      </c>
      <c r="AX21">
        <f>IF((L21+AW21)+0.5*H21&lt;=Tables!$B$24,0,IF((L21+AW21)+0.5*H21&lt;=Tables!$B$25,MIN(0.5*H21,0.5*((L21+AW21)+0.5*H21-Tables!$B$24)),MIN(0.85*H21,0.85*((L21+AW21)+0.5*H21-Tables!$B$25)+MIN(Tables!$B$26,0.5*H21))))</f>
        <v/>
      </c>
      <c r="AY21">
        <f>R21+SUMPRODUCT(((MAX(0,L21+AW21+AX21-(Tables!$B$22+IF(B21&gt;=Tables!$B$27,2*Tables!$B$23,0))))&gt;Tables!$A$31:$A$37)*((MAX(0,L21+AW21+AX21-(Tables!$B$22+IF(B21&gt;=Tables!$B$27,2*Tables!$B$23,0))))-Tables!$A$31:$A$37)*Tables!$C$31:$C$37)-O21</f>
        <v/>
      </c>
      <c r="AZ21">
        <f>IF((L21+AY21)+0.5*H21&lt;=Tables!$B$24,0,IF((L21+AY21)+0.5*H21&lt;=Tables!$B$25,MIN(0.5*H21,0.5*((L21+AY21)+0.5*H21-Tables!$B$24)),MIN(0.85*H21,0.85*((L21+AY21)+0.5*H21-Tables!$B$25)+MIN(Tables!$B$26,0.5*H21))))</f>
        <v/>
      </c>
      <c r="BA21">
        <f>R21+SUMPRODUCT(((MAX(0,L21+AY21+AZ21-(Tables!$B$22+IF(B21&gt;=Tables!$B$27,2*Tables!$B$23,0))))&gt;Tables!$A$31:$A$37)*((MAX(0,L21+AY21+AZ21-(Tables!$B$22+IF(B21&gt;=Tables!$B$27,2*Tables!$B$23,0))))-Tables!$A$31:$A$37)*Tables!$C$31:$C$37)-O21</f>
        <v/>
      </c>
      <c r="BB21">
        <f>IF((L21+BA21)+0.5*H21&lt;=Tables!$B$24,0,IF((L21+BA21)+0.5*H21&lt;=Tables!$B$25,MIN(0.5*H21,0.5*((L21+BA21)+0.5*H21-Tables!$B$24)),MIN(0.85*H21,0.85*((L21+BA21)+0.5*H21-Tables!$B$25)+MIN(Tables!$B$26,0.5*H21))))</f>
        <v/>
      </c>
      <c r="BC21">
        <f>R21+SUMPRODUCT(((MAX(0,L21+BA21+BB21-(Tables!$B$22+IF(B21&gt;=Tables!$B$27,2*Tables!$B$23,0))))&gt;Tables!$A$31:$A$37)*((MAX(0,L21+BA21+BB21-(Tables!$B$22+IF(B21&gt;=Tables!$B$27,2*Tables!$B$23,0))))-Tables!$A$31:$A$37)*Tables!$C$31:$C$37)-O21</f>
        <v/>
      </c>
      <c r="BD21">
        <f>IF((L21+BC21)+0.5*H21&lt;=Tables!$B$24,0,IF((L21+BC21)+0.5*H21&lt;=Tables!$B$25,MIN(0.5*H21,0.5*((L21+BC21)+0.5*H21-Tables!$B$24)),MIN(0.85*H21,0.85*((L21+BC21)+0.5*H21-Tables!$B$25)+MIN(Tables!$B$26,0.5*H21))))</f>
        <v/>
      </c>
      <c r="BE21">
        <f>R21+SUMPRODUCT(((MAX(0,L21+BC21+BD21-(Tables!$B$22+IF(B21&gt;=Tables!$B$27,2*Tables!$B$23,0))))&gt;Tables!$A$31:$A$37)*((MAX(0,L21+BC21+BD21-(Tables!$B$22+IF(B21&gt;=Tables!$B$27,2*Tables!$B$23,0))))-Tables!$A$31:$A$37)*Tables!$C$31:$C$37)-O21</f>
        <v/>
      </c>
      <c r="BF21">
        <f>IF((L21+BE21)+0.5*H21&lt;=Tables!$B$24,0,IF((L21+BE21)+0.5*H21&lt;=Tables!$B$25,MIN(0.5*H21,0.5*((L21+BE21)+0.5*H21-Tables!$B$24)),MIN(0.85*H21,0.85*((L21+BE21)+0.5*H21-Tables!$B$25)+MIN(Tables!$B$26,0.5*H21))))</f>
        <v/>
      </c>
      <c r="BG21">
        <f>R21+SUMPRODUCT(((MAX(0,L21+BE21+BF21-(Tables!$B$22+IF(B21&gt;=Tables!$B$27,2*Tables!$B$23,0))))&gt;Tables!$A$31:$A$37)*((MAX(0,L21+BE21+BF21-(Tables!$B$22+IF(B21&gt;=Tables!$B$27,2*Tables!$B$23,0))))-Tables!$A$31:$A$37)*Tables!$C$31:$C$37)-O21</f>
        <v/>
      </c>
      <c r="BH21">
        <f>IF((L21+BG21)+0.5*H21&lt;=Tables!$B$24,0,IF((L21+BG21)+0.5*H21&lt;=Tables!$B$25,MIN(0.5*H21,0.5*((L21+BG21)+0.5*H21-Tables!$B$24)),MIN(0.85*H21,0.85*((L21+BG21)+0.5*H21-Tables!$B$25)+MIN(Tables!$B$26,0.5*H21))))</f>
        <v/>
      </c>
      <c r="BI21">
        <f>R21+SUMPRODUCT(((MAX(0,L21+BG21+BH21-(Tables!$B$22+IF(B21&gt;=Tables!$B$27,2*Tables!$B$23,0))))&gt;Tables!$A$31:$A$37)*((MAX(0,L21+BG21+BH21-(Tables!$B$22+IF(B21&gt;=Tables!$B$27,2*Tables!$B$23,0))))-Tables!$A$31:$A$37)*Tables!$C$31:$C$37)-O21</f>
        <v/>
      </c>
      <c r="BJ21">
        <f>IF((L21+BI21)+0.5*H21&lt;=Tables!$B$24,0,IF((L21+BI21)+0.5*H21&lt;=Tables!$B$25,MIN(0.5*H21,0.5*((L21+BI21)+0.5*H21-Tables!$B$24)),MIN(0.85*H21,0.85*((L21+BI21)+0.5*H21-Tables!$B$25)+MIN(Tables!$B$26,0.5*H21))))</f>
        <v/>
      </c>
      <c r="BK21">
        <f>R21+SUMPRODUCT(((MAX(0,L21+BI21+BJ21-(Tables!$B$22+IF(B21&gt;=Tables!$B$27,2*Tables!$B$23,0))))&gt;Tables!$A$31:$A$37)*((MAX(0,L21+BI21+BJ21-(Tables!$B$22+IF(B21&gt;=Tables!$B$27,2*Tables!$B$23,0))))-Tables!$A$31:$A$37)*Tables!$C$31:$C$37)-O21</f>
        <v/>
      </c>
      <c r="BL21">
        <f>IF((L21+BK21)+0.5*H21&lt;=Tables!$B$24,0,IF((L21+BK21)+0.5*H21&lt;=Tables!$B$25,MIN(0.5*H21,0.5*((L21+BK21)+0.5*H21-Tables!$B$24)),MIN(0.85*H21,0.85*((L21+BK21)+0.5*H21-Tables!$B$25)+MIN(Tables!$B$26,0.5*H21))))</f>
        <v/>
      </c>
      <c r="BM21">
        <f>R21+SUMPRODUCT(((MAX(0,L21+BK21+BL21-(Tables!$B$22+IF(B21&gt;=Tables!$B$27,2*Tables!$B$23,0))))&gt;Tables!$A$31:$A$37)*((MAX(0,L21+BK21+BL21-(Tables!$B$22+IF(B21&gt;=Tables!$B$27,2*Tables!$B$23,0))))-Tables!$A$31:$A$37)*Tables!$C$31:$C$37)-O21</f>
        <v/>
      </c>
      <c r="BN21">
        <f>IF((L21+BM21)+0.5*H21&lt;=Tables!$B$24,0,IF((L21+BM21)+0.5*H21&lt;=Tables!$B$25,MIN(0.5*H21,0.5*((L21+BM21)+0.5*H21-Tables!$B$24)),MIN(0.85*H21,0.85*((L21+BM21)+0.5*H21-Tables!$B$25)+MIN(Tables!$B$26,0.5*H21))))</f>
        <v/>
      </c>
      <c r="BO21">
        <f>R21+SUMPRODUCT(((MAX(0,L21+BM21+BN21-(Tables!$B$22+IF(B21&gt;=Tables!$B$27,2*Tables!$B$23,0))))&gt;Tables!$A$31:$A$37)*((MAX(0,L21+BM21+BN21-(Tables!$B$22+IF(B21&gt;=Tables!$B$27,2*Tables!$B$23,0))))-Tables!$A$31:$A$37)*Tables!$C$31:$C$37)-O21</f>
        <v/>
      </c>
      <c r="BP21">
        <f>MIN(BO21,S21)</f>
        <v/>
      </c>
      <c r="BQ21">
        <f>L21+BP21</f>
        <v/>
      </c>
      <c r="BR21">
        <f>IF(BQ21+0.5*H21&lt;=Tables!$B$24,0,IF(BQ21+0.5*H21&lt;=Tables!$B$25,MIN(0.5*H21,0.5*(BQ21+0.5*H21-Tables!$B$24)),MIN(0.85*H21,0.85*(BQ21+0.5*H21-Tables!$B$25)+MIN(Tables!$B$26,0.5*H21))))</f>
        <v/>
      </c>
      <c r="BS21">
        <f>MAX(0,BQ21+BR21-(Tables!$B$22+IF(B21&gt;=Tables!$B$27,2*Tables!$B$23,0)))</f>
        <v/>
      </c>
      <c r="BT21">
        <f>SUMPRODUCT(((BS21)&gt;Tables!$A$31:$A$37)*((BS21)-Tables!$A$31:$A$37)*Tables!$C$31:$C$37)</f>
        <v/>
      </c>
      <c r="BU21">
        <f>MAX(0,G21-(H21+BQ21+Q21-BT21))</f>
        <v/>
      </c>
      <c r="BV21">
        <f>MIN(J21,BU21)</f>
        <v/>
      </c>
      <c r="BW21">
        <f>H21+BQ21+Q21+BV21</f>
        <v/>
      </c>
      <c r="BX21">
        <f>MAX(0,BW21-G21-BT21)</f>
        <v/>
      </c>
      <c r="BY21">
        <f>MAX(0,G21+BT21-BW21)</f>
        <v/>
      </c>
      <c r="BZ21">
        <f>IF(C21=0,0,MAX(0,I21-BQ21)*(1+D21))</f>
        <v/>
      </c>
      <c r="CA21">
        <f>IF(C21=0,0,MAX(0,J21-BV21)*(1+D21))</f>
        <v/>
      </c>
      <c r="CB21">
        <f>IF(C21=0,0,MAX(0,K21-Q21+BX21)*(1+D21))</f>
        <v/>
      </c>
      <c r="CC21">
        <f>IF(C21=0,CC20,BZ21+CA21+CB21)</f>
        <v/>
      </c>
      <c r="CD21">
        <f>IF(C21=0,9999,IF(OR(BY21&gt;0.0001,CC21&lt;=0.0001),B21,9999))</f>
        <v/>
      </c>
    </row>
    <row r="22">
      <c r="A22" t="n">
        <v>20</v>
      </c>
      <c r="B22">
        <f>Tables!$B$13+A22</f>
        <v/>
      </c>
      <c r="C22">
        <f>IF(B22&lt;=Tables!$B$18,1,0)</f>
        <v/>
      </c>
      <c r="D22">
        <f>INDEX(Tables!$B$83:$B$123,A22+1)</f>
        <v/>
      </c>
      <c r="E22">
        <f>IF(A22=0,0,INDEX(Tables!$B$83:$B$123,A22))</f>
        <v/>
      </c>
      <c r="F22">
        <f>IF(AND(C22=1,Tables!$B$17="YES",A22&gt;0,E22&lt;Tables!$B$16),Tables!$B$15,0)</f>
        <v/>
      </c>
      <c r="G22">
        <f>IF(C22=0,0,Tables!$B$8-IF(B22&gt;=Tables!$B$7,Tables!$B$6,0)+IF(B22&lt;Tables!$B$27,Tables!$B$9,Tables!$B$10)-F22)</f>
        <v/>
      </c>
      <c r="H22">
        <f>IF(C22=0,0,IF(B22&gt;=Tables!$B$78,Tables!$D$78,0)+IF(B22&gt;=Tables!$C$78,Tables!$E$78,0))</f>
        <v/>
      </c>
      <c r="I22">
        <f>IF(C22=0,0,BZ21)</f>
        <v/>
      </c>
      <c r="J22">
        <f>IF(C22=0,0,CA21)</f>
        <v/>
      </c>
      <c r="K22">
        <f>IF(C22=0,0,CB21)</f>
        <v/>
      </c>
      <c r="L22">
        <f>IF(C22=0,0,IF(B22&gt;=Tables!$B$19,MIN(I22,I22/VLOOKUP(B22,Tables!$A$41:$B$61,2,FALSE)),0))</f>
        <v/>
      </c>
      <c r="M22">
        <f>IF(L22+0.5*H22&lt;=Tables!$B$24,0,IF(L22+0.5*H22&lt;=Tables!$B$25,MIN(0.5*H22,0.5*(L22+0.5*H22-Tables!$B$24)),MIN(0.85*H22,0.85*(L22+0.5*H22-Tables!$B$25)+MIN(Tables!$B$26,0.5*H22))))</f>
        <v/>
      </c>
      <c r="N22">
        <f>MAX(0,L22+M22-(Tables!$B$22+IF(B22&gt;=Tables!$B$27,2*Tables!$B$23,0)))</f>
        <v/>
      </c>
      <c r="O22">
        <f>SUMPRODUCT(((N22)&gt;Tables!$A$31:$A$37)*((N22)-Tables!$A$31:$A$37)*Tables!$C$31:$C$37)</f>
        <v/>
      </c>
      <c r="P22">
        <f>G22-(H22+L22-O22)</f>
        <v/>
      </c>
      <c r="Q22">
        <f>MIN(K22,MAX(0,P22))</f>
        <v/>
      </c>
      <c r="R22">
        <f>MAX(0,P22-Q22)</f>
        <v/>
      </c>
      <c r="S22">
        <f>MAX(0,I22-L22)</f>
        <v/>
      </c>
      <c r="T22">
        <f>IF((L22+R22)+0.5*H22&lt;=Tables!$B$24,0,IF((L22+R22)+0.5*H22&lt;=Tables!$B$25,MIN(0.5*H22,0.5*((L22+R22)+0.5*H22-Tables!$B$24)),MIN(0.85*H22,0.85*((L22+R22)+0.5*H22-Tables!$B$25)+MIN(Tables!$B$26,0.5*H22))))</f>
        <v/>
      </c>
      <c r="U22">
        <f>R22+SUMPRODUCT(((MAX(0,L22+R22+T22-(Tables!$B$22+IF(B22&gt;=Tables!$B$27,2*Tables!$B$23,0))))&gt;Tables!$A$31:$A$37)*((MAX(0,L22+R22+T22-(Tables!$B$22+IF(B22&gt;=Tables!$B$27,2*Tables!$B$23,0))))-Tables!$A$31:$A$37)*Tables!$C$31:$C$37)-O22</f>
        <v/>
      </c>
      <c r="V22">
        <f>IF((L22+U22)+0.5*H22&lt;=Tables!$B$24,0,IF((L22+U22)+0.5*H22&lt;=Tables!$B$25,MIN(0.5*H22,0.5*((L22+U22)+0.5*H22-Tables!$B$24)),MIN(0.85*H22,0.85*((L22+U22)+0.5*H22-Tables!$B$25)+MIN(Tables!$B$26,0.5*H22))))</f>
        <v/>
      </c>
      <c r="W22">
        <f>R22+SUMPRODUCT(((MAX(0,L22+U22+V22-(Tables!$B$22+IF(B22&gt;=Tables!$B$27,2*Tables!$B$23,0))))&gt;Tables!$A$31:$A$37)*((MAX(0,L22+U22+V22-(Tables!$B$22+IF(B22&gt;=Tables!$B$27,2*Tables!$B$23,0))))-Tables!$A$31:$A$37)*Tables!$C$31:$C$37)-O22</f>
        <v/>
      </c>
      <c r="X22">
        <f>IF((L22+W22)+0.5*H22&lt;=Tables!$B$24,0,IF((L22+W22)+0.5*H22&lt;=Tables!$B$25,MIN(0.5*H22,0.5*((L22+W22)+0.5*H22-Tables!$B$24)),MIN(0.85*H22,0.85*((L22+W22)+0.5*H22-Tables!$B$25)+MIN(Tables!$B$26,0.5*H22))))</f>
        <v/>
      </c>
      <c r="Y22">
        <f>R22+SUMPRODUCT(((MAX(0,L22+W22+X22-(Tables!$B$22+IF(B22&gt;=Tables!$B$27,2*Tables!$B$23,0))))&gt;Tables!$A$31:$A$37)*((MAX(0,L22+W22+X22-(Tables!$B$22+IF(B22&gt;=Tables!$B$27,2*Tables!$B$23,0))))-Tables!$A$31:$A$37)*Tables!$C$31:$C$37)-O22</f>
        <v/>
      </c>
      <c r="Z22">
        <f>IF((L22+Y22)+0.5*H22&lt;=Tables!$B$24,0,IF((L22+Y22)+0.5*H22&lt;=Tables!$B$25,MIN(0.5*H22,0.5*((L22+Y22)+0.5*H22-Tables!$B$24)),MIN(0.85*H22,0.85*((L22+Y22)+0.5*H22-Tables!$B$25)+MIN(Tables!$B$26,0.5*H22))))</f>
        <v/>
      </c>
      <c r="AA22">
        <f>R22+SUMPRODUCT(((MAX(0,L22+Y22+Z22-(Tables!$B$22+IF(B22&gt;=Tables!$B$27,2*Tables!$B$23,0))))&gt;Tables!$A$31:$A$37)*((MAX(0,L22+Y22+Z22-(Tables!$B$22+IF(B22&gt;=Tables!$B$27,2*Tables!$B$23,0))))-Tables!$A$31:$A$37)*Tables!$C$31:$C$37)-O22</f>
        <v/>
      </c>
      <c r="AB22">
        <f>IF((L22+AA22)+0.5*H22&lt;=Tables!$B$24,0,IF((L22+AA22)+0.5*H22&lt;=Tables!$B$25,MIN(0.5*H22,0.5*((L22+AA22)+0.5*H22-Tables!$B$24)),MIN(0.85*H22,0.85*((L22+AA22)+0.5*H22-Tables!$B$25)+MIN(Tables!$B$26,0.5*H22))))</f>
        <v/>
      </c>
      <c r="AC22">
        <f>R22+SUMPRODUCT(((MAX(0,L22+AA22+AB22-(Tables!$B$22+IF(B22&gt;=Tables!$B$27,2*Tables!$B$23,0))))&gt;Tables!$A$31:$A$37)*((MAX(0,L22+AA22+AB22-(Tables!$B$22+IF(B22&gt;=Tables!$B$27,2*Tables!$B$23,0))))-Tables!$A$31:$A$37)*Tables!$C$31:$C$37)-O22</f>
        <v/>
      </c>
      <c r="AD22">
        <f>IF((L22+AC22)+0.5*H22&lt;=Tables!$B$24,0,IF((L22+AC22)+0.5*H22&lt;=Tables!$B$25,MIN(0.5*H22,0.5*((L22+AC22)+0.5*H22-Tables!$B$24)),MIN(0.85*H22,0.85*((L22+AC22)+0.5*H22-Tables!$B$25)+MIN(Tables!$B$26,0.5*H22))))</f>
        <v/>
      </c>
      <c r="AE22">
        <f>R22+SUMPRODUCT(((MAX(0,L22+AC22+AD22-(Tables!$B$22+IF(B22&gt;=Tables!$B$27,2*Tables!$B$23,0))))&gt;Tables!$A$31:$A$37)*((MAX(0,L22+AC22+AD22-(Tables!$B$22+IF(B22&gt;=Tables!$B$27,2*Tables!$B$23,0))))-Tables!$A$31:$A$37)*Tables!$C$31:$C$37)-O22</f>
        <v/>
      </c>
      <c r="AF22">
        <f>IF((L22+AE22)+0.5*H22&lt;=Tables!$B$24,0,IF((L22+AE22)+0.5*H22&lt;=Tables!$B$25,MIN(0.5*H22,0.5*((L22+AE22)+0.5*H22-Tables!$B$24)),MIN(0.85*H22,0.85*((L22+AE22)+0.5*H22-Tables!$B$25)+MIN(Tables!$B$26,0.5*H22))))</f>
        <v/>
      </c>
      <c r="AG22">
        <f>R22+SUMPRODUCT(((MAX(0,L22+AE22+AF22-(Tables!$B$22+IF(B22&gt;=Tables!$B$27,2*Tables!$B$23,0))))&gt;Tables!$A$31:$A$37)*((MAX(0,L22+AE22+AF22-(Tables!$B$22+IF(B22&gt;=Tables!$B$27,2*Tables!$B$23,0))))-Tables!$A$31:$A$37)*Tables!$C$31:$C$37)-O22</f>
        <v/>
      </c>
      <c r="AH22">
        <f>IF((L22+AG22)+0.5*H22&lt;=Tables!$B$24,0,IF((L22+AG22)+0.5*H22&lt;=Tables!$B$25,MIN(0.5*H22,0.5*((L22+AG22)+0.5*H22-Tables!$B$24)),MIN(0.85*H22,0.85*((L22+AG22)+0.5*H22-Tables!$B$25)+MIN(Tables!$B$26,0.5*H22))))</f>
        <v/>
      </c>
      <c r="AI22">
        <f>R22+SUMPRODUCT(((MAX(0,L22+AG22+AH22-(Tables!$B$22+IF(B22&gt;=Tables!$B$27,2*Tables!$B$23,0))))&gt;Tables!$A$31:$A$37)*((MAX(0,L22+AG22+AH22-(Tables!$B$22+IF(B22&gt;=Tables!$B$27,2*Tables!$B$23,0))))-Tables!$A$31:$A$37)*Tables!$C$31:$C$37)-O22</f>
        <v/>
      </c>
      <c r="AJ22">
        <f>IF((L22+AI22)+0.5*H22&lt;=Tables!$B$24,0,IF((L22+AI22)+0.5*H22&lt;=Tables!$B$25,MIN(0.5*H22,0.5*((L22+AI22)+0.5*H22-Tables!$B$24)),MIN(0.85*H22,0.85*((L22+AI22)+0.5*H22-Tables!$B$25)+MIN(Tables!$B$26,0.5*H22))))</f>
        <v/>
      </c>
      <c r="AK22">
        <f>R22+SUMPRODUCT(((MAX(0,L22+AI22+AJ22-(Tables!$B$22+IF(B22&gt;=Tables!$B$27,2*Tables!$B$23,0))))&gt;Tables!$A$31:$A$37)*((MAX(0,L22+AI22+AJ22-(Tables!$B$22+IF(B22&gt;=Tables!$B$27,2*Tables!$B$23,0))))-Tables!$A$31:$A$37)*Tables!$C$31:$C$37)-O22</f>
        <v/>
      </c>
      <c r="AL22">
        <f>IF((L22+AK22)+0.5*H22&lt;=Tables!$B$24,0,IF((L22+AK22)+0.5*H22&lt;=Tables!$B$25,MIN(0.5*H22,0.5*((L22+AK22)+0.5*H22-Tables!$B$24)),MIN(0.85*H22,0.85*((L22+AK22)+0.5*H22-Tables!$B$25)+MIN(Tables!$B$26,0.5*H22))))</f>
        <v/>
      </c>
      <c r="AM22">
        <f>R22+SUMPRODUCT(((MAX(0,L22+AK22+AL22-(Tables!$B$22+IF(B22&gt;=Tables!$B$27,2*Tables!$B$23,0))))&gt;Tables!$A$31:$A$37)*((MAX(0,L22+AK22+AL22-(Tables!$B$22+IF(B22&gt;=Tables!$B$27,2*Tables!$B$23,0))))-Tables!$A$31:$A$37)*Tables!$C$31:$C$37)-O22</f>
        <v/>
      </c>
      <c r="AN22">
        <f>IF((L22+AM22)+0.5*H22&lt;=Tables!$B$24,0,IF((L22+AM22)+0.5*H22&lt;=Tables!$B$25,MIN(0.5*H22,0.5*((L22+AM22)+0.5*H22-Tables!$B$24)),MIN(0.85*H22,0.85*((L22+AM22)+0.5*H22-Tables!$B$25)+MIN(Tables!$B$26,0.5*H22))))</f>
        <v/>
      </c>
      <c r="AO22">
        <f>R22+SUMPRODUCT(((MAX(0,L22+AM22+AN22-(Tables!$B$22+IF(B22&gt;=Tables!$B$27,2*Tables!$B$23,0))))&gt;Tables!$A$31:$A$37)*((MAX(0,L22+AM22+AN22-(Tables!$B$22+IF(B22&gt;=Tables!$B$27,2*Tables!$B$23,0))))-Tables!$A$31:$A$37)*Tables!$C$31:$C$37)-O22</f>
        <v/>
      </c>
      <c r="AP22">
        <f>IF((L22+AO22)+0.5*H22&lt;=Tables!$B$24,0,IF((L22+AO22)+0.5*H22&lt;=Tables!$B$25,MIN(0.5*H22,0.5*((L22+AO22)+0.5*H22-Tables!$B$24)),MIN(0.85*H22,0.85*((L22+AO22)+0.5*H22-Tables!$B$25)+MIN(Tables!$B$26,0.5*H22))))</f>
        <v/>
      </c>
      <c r="AQ22">
        <f>R22+SUMPRODUCT(((MAX(0,L22+AO22+AP22-(Tables!$B$22+IF(B22&gt;=Tables!$B$27,2*Tables!$B$23,0))))&gt;Tables!$A$31:$A$37)*((MAX(0,L22+AO22+AP22-(Tables!$B$22+IF(B22&gt;=Tables!$B$27,2*Tables!$B$23,0))))-Tables!$A$31:$A$37)*Tables!$C$31:$C$37)-O22</f>
        <v/>
      </c>
      <c r="AR22">
        <f>IF((L22+AQ22)+0.5*H22&lt;=Tables!$B$24,0,IF((L22+AQ22)+0.5*H22&lt;=Tables!$B$25,MIN(0.5*H22,0.5*((L22+AQ22)+0.5*H22-Tables!$B$24)),MIN(0.85*H22,0.85*((L22+AQ22)+0.5*H22-Tables!$B$25)+MIN(Tables!$B$26,0.5*H22))))</f>
        <v/>
      </c>
      <c r="AS22">
        <f>R22+SUMPRODUCT(((MAX(0,L22+AQ22+AR22-(Tables!$B$22+IF(B22&gt;=Tables!$B$27,2*Tables!$B$23,0))))&gt;Tables!$A$31:$A$37)*((MAX(0,L22+AQ22+AR22-(Tables!$B$22+IF(B22&gt;=Tables!$B$27,2*Tables!$B$23,0))))-Tables!$A$31:$A$37)*Tables!$C$31:$C$37)-O22</f>
        <v/>
      </c>
      <c r="AT22">
        <f>IF((L22+AS22)+0.5*H22&lt;=Tables!$B$24,0,IF((L22+AS22)+0.5*H22&lt;=Tables!$B$25,MIN(0.5*H22,0.5*((L22+AS22)+0.5*H22-Tables!$B$24)),MIN(0.85*H22,0.85*((L22+AS22)+0.5*H22-Tables!$B$25)+MIN(Tables!$B$26,0.5*H22))))</f>
        <v/>
      </c>
      <c r="AU22">
        <f>R22+SUMPRODUCT(((MAX(0,L22+AS22+AT22-(Tables!$B$22+IF(B22&gt;=Tables!$B$27,2*Tables!$B$23,0))))&gt;Tables!$A$31:$A$37)*((MAX(0,L22+AS22+AT22-(Tables!$B$22+IF(B22&gt;=Tables!$B$27,2*Tables!$B$23,0))))-Tables!$A$31:$A$37)*Tables!$C$31:$C$37)-O22</f>
        <v/>
      </c>
      <c r="AV22">
        <f>IF((L22+AU22)+0.5*H22&lt;=Tables!$B$24,0,IF((L22+AU22)+0.5*H22&lt;=Tables!$B$25,MIN(0.5*H22,0.5*((L22+AU22)+0.5*H22-Tables!$B$24)),MIN(0.85*H22,0.85*((L22+AU22)+0.5*H22-Tables!$B$25)+MIN(Tables!$B$26,0.5*H22))))</f>
        <v/>
      </c>
      <c r="AW22">
        <f>R22+SUMPRODUCT(((MAX(0,L22+AU22+AV22-(Tables!$B$22+IF(B22&gt;=Tables!$B$27,2*Tables!$B$23,0))))&gt;Tables!$A$31:$A$37)*((MAX(0,L22+AU22+AV22-(Tables!$B$22+IF(B22&gt;=Tables!$B$27,2*Tables!$B$23,0))))-Tables!$A$31:$A$37)*Tables!$C$31:$C$37)-O22</f>
        <v/>
      </c>
      <c r="AX22">
        <f>IF((L22+AW22)+0.5*H22&lt;=Tables!$B$24,0,IF((L22+AW22)+0.5*H22&lt;=Tables!$B$25,MIN(0.5*H22,0.5*((L22+AW22)+0.5*H22-Tables!$B$24)),MIN(0.85*H22,0.85*((L22+AW22)+0.5*H22-Tables!$B$25)+MIN(Tables!$B$26,0.5*H22))))</f>
        <v/>
      </c>
      <c r="AY22">
        <f>R22+SUMPRODUCT(((MAX(0,L22+AW22+AX22-(Tables!$B$22+IF(B22&gt;=Tables!$B$27,2*Tables!$B$23,0))))&gt;Tables!$A$31:$A$37)*((MAX(0,L22+AW22+AX22-(Tables!$B$22+IF(B22&gt;=Tables!$B$27,2*Tables!$B$23,0))))-Tables!$A$31:$A$37)*Tables!$C$31:$C$37)-O22</f>
        <v/>
      </c>
      <c r="AZ22">
        <f>IF((L22+AY22)+0.5*H22&lt;=Tables!$B$24,0,IF((L22+AY22)+0.5*H22&lt;=Tables!$B$25,MIN(0.5*H22,0.5*((L22+AY22)+0.5*H22-Tables!$B$24)),MIN(0.85*H22,0.85*((L22+AY22)+0.5*H22-Tables!$B$25)+MIN(Tables!$B$26,0.5*H22))))</f>
        <v/>
      </c>
      <c r="BA22">
        <f>R22+SUMPRODUCT(((MAX(0,L22+AY22+AZ22-(Tables!$B$22+IF(B22&gt;=Tables!$B$27,2*Tables!$B$23,0))))&gt;Tables!$A$31:$A$37)*((MAX(0,L22+AY22+AZ22-(Tables!$B$22+IF(B22&gt;=Tables!$B$27,2*Tables!$B$23,0))))-Tables!$A$31:$A$37)*Tables!$C$31:$C$37)-O22</f>
        <v/>
      </c>
      <c r="BB22">
        <f>IF((L22+BA22)+0.5*H22&lt;=Tables!$B$24,0,IF((L22+BA22)+0.5*H22&lt;=Tables!$B$25,MIN(0.5*H22,0.5*((L22+BA22)+0.5*H22-Tables!$B$24)),MIN(0.85*H22,0.85*((L22+BA22)+0.5*H22-Tables!$B$25)+MIN(Tables!$B$26,0.5*H22))))</f>
        <v/>
      </c>
      <c r="BC22">
        <f>R22+SUMPRODUCT(((MAX(0,L22+BA22+BB22-(Tables!$B$22+IF(B22&gt;=Tables!$B$27,2*Tables!$B$23,0))))&gt;Tables!$A$31:$A$37)*((MAX(0,L22+BA22+BB22-(Tables!$B$22+IF(B22&gt;=Tables!$B$27,2*Tables!$B$23,0))))-Tables!$A$31:$A$37)*Tables!$C$31:$C$37)-O22</f>
        <v/>
      </c>
      <c r="BD22">
        <f>IF((L22+BC22)+0.5*H22&lt;=Tables!$B$24,0,IF((L22+BC22)+0.5*H22&lt;=Tables!$B$25,MIN(0.5*H22,0.5*((L22+BC22)+0.5*H22-Tables!$B$24)),MIN(0.85*H22,0.85*((L22+BC22)+0.5*H22-Tables!$B$25)+MIN(Tables!$B$26,0.5*H22))))</f>
        <v/>
      </c>
      <c r="BE22">
        <f>R22+SUMPRODUCT(((MAX(0,L22+BC22+BD22-(Tables!$B$22+IF(B22&gt;=Tables!$B$27,2*Tables!$B$23,0))))&gt;Tables!$A$31:$A$37)*((MAX(0,L22+BC22+BD22-(Tables!$B$22+IF(B22&gt;=Tables!$B$27,2*Tables!$B$23,0))))-Tables!$A$31:$A$37)*Tables!$C$31:$C$37)-O22</f>
        <v/>
      </c>
      <c r="BF22">
        <f>IF((L22+BE22)+0.5*H22&lt;=Tables!$B$24,0,IF((L22+BE22)+0.5*H22&lt;=Tables!$B$25,MIN(0.5*H22,0.5*((L22+BE22)+0.5*H22-Tables!$B$24)),MIN(0.85*H22,0.85*((L22+BE22)+0.5*H22-Tables!$B$25)+MIN(Tables!$B$26,0.5*H22))))</f>
        <v/>
      </c>
      <c r="BG22">
        <f>R22+SUMPRODUCT(((MAX(0,L22+BE22+BF22-(Tables!$B$22+IF(B22&gt;=Tables!$B$27,2*Tables!$B$23,0))))&gt;Tables!$A$31:$A$37)*((MAX(0,L22+BE22+BF22-(Tables!$B$22+IF(B22&gt;=Tables!$B$27,2*Tables!$B$23,0))))-Tables!$A$31:$A$37)*Tables!$C$31:$C$37)-O22</f>
        <v/>
      </c>
      <c r="BH22">
        <f>IF((L22+BG22)+0.5*H22&lt;=Tables!$B$24,0,IF((L22+BG22)+0.5*H22&lt;=Tables!$B$25,MIN(0.5*H22,0.5*((L22+BG22)+0.5*H22-Tables!$B$24)),MIN(0.85*H22,0.85*((L22+BG22)+0.5*H22-Tables!$B$25)+MIN(Tables!$B$26,0.5*H22))))</f>
        <v/>
      </c>
      <c r="BI22">
        <f>R22+SUMPRODUCT(((MAX(0,L22+BG22+BH22-(Tables!$B$22+IF(B22&gt;=Tables!$B$27,2*Tables!$B$23,0))))&gt;Tables!$A$31:$A$37)*((MAX(0,L22+BG22+BH22-(Tables!$B$22+IF(B22&gt;=Tables!$B$27,2*Tables!$B$23,0))))-Tables!$A$31:$A$37)*Tables!$C$31:$C$37)-O22</f>
        <v/>
      </c>
      <c r="BJ22">
        <f>IF((L22+BI22)+0.5*H22&lt;=Tables!$B$24,0,IF((L22+BI22)+0.5*H22&lt;=Tables!$B$25,MIN(0.5*H22,0.5*((L22+BI22)+0.5*H22-Tables!$B$24)),MIN(0.85*H22,0.85*((L22+BI22)+0.5*H22-Tables!$B$25)+MIN(Tables!$B$26,0.5*H22))))</f>
        <v/>
      </c>
      <c r="BK22">
        <f>R22+SUMPRODUCT(((MAX(0,L22+BI22+BJ22-(Tables!$B$22+IF(B22&gt;=Tables!$B$27,2*Tables!$B$23,0))))&gt;Tables!$A$31:$A$37)*((MAX(0,L22+BI22+BJ22-(Tables!$B$22+IF(B22&gt;=Tables!$B$27,2*Tables!$B$23,0))))-Tables!$A$31:$A$37)*Tables!$C$31:$C$37)-O22</f>
        <v/>
      </c>
      <c r="BL22">
        <f>IF((L22+BK22)+0.5*H22&lt;=Tables!$B$24,0,IF((L22+BK22)+0.5*H22&lt;=Tables!$B$25,MIN(0.5*H22,0.5*((L22+BK22)+0.5*H22-Tables!$B$24)),MIN(0.85*H22,0.85*((L22+BK22)+0.5*H22-Tables!$B$25)+MIN(Tables!$B$26,0.5*H22))))</f>
        <v/>
      </c>
      <c r="BM22">
        <f>R22+SUMPRODUCT(((MAX(0,L22+BK22+BL22-(Tables!$B$22+IF(B22&gt;=Tables!$B$27,2*Tables!$B$23,0))))&gt;Tables!$A$31:$A$37)*((MAX(0,L22+BK22+BL22-(Tables!$B$22+IF(B22&gt;=Tables!$B$27,2*Tables!$B$23,0))))-Tables!$A$31:$A$37)*Tables!$C$31:$C$37)-O22</f>
        <v/>
      </c>
      <c r="BN22">
        <f>IF((L22+BM22)+0.5*H22&lt;=Tables!$B$24,0,IF((L22+BM22)+0.5*H22&lt;=Tables!$B$25,MIN(0.5*H22,0.5*((L22+BM22)+0.5*H22-Tables!$B$24)),MIN(0.85*H22,0.85*((L22+BM22)+0.5*H22-Tables!$B$25)+MIN(Tables!$B$26,0.5*H22))))</f>
        <v/>
      </c>
      <c r="BO22">
        <f>R22+SUMPRODUCT(((MAX(0,L22+BM22+BN22-(Tables!$B$22+IF(B22&gt;=Tables!$B$27,2*Tables!$B$23,0))))&gt;Tables!$A$31:$A$37)*((MAX(0,L22+BM22+BN22-(Tables!$B$22+IF(B22&gt;=Tables!$B$27,2*Tables!$B$23,0))))-Tables!$A$31:$A$37)*Tables!$C$31:$C$37)-O22</f>
        <v/>
      </c>
      <c r="BP22">
        <f>MIN(BO22,S22)</f>
        <v/>
      </c>
      <c r="BQ22">
        <f>L22+BP22</f>
        <v/>
      </c>
      <c r="BR22">
        <f>IF(BQ22+0.5*H22&lt;=Tables!$B$24,0,IF(BQ22+0.5*H22&lt;=Tables!$B$25,MIN(0.5*H22,0.5*(BQ22+0.5*H22-Tables!$B$24)),MIN(0.85*H22,0.85*(BQ22+0.5*H22-Tables!$B$25)+MIN(Tables!$B$26,0.5*H22))))</f>
        <v/>
      </c>
      <c r="BS22">
        <f>MAX(0,BQ22+BR22-(Tables!$B$22+IF(B22&gt;=Tables!$B$27,2*Tables!$B$23,0)))</f>
        <v/>
      </c>
      <c r="BT22">
        <f>SUMPRODUCT(((BS22)&gt;Tables!$A$31:$A$37)*((BS22)-Tables!$A$31:$A$37)*Tables!$C$31:$C$37)</f>
        <v/>
      </c>
      <c r="BU22">
        <f>MAX(0,G22-(H22+BQ22+Q22-BT22))</f>
        <v/>
      </c>
      <c r="BV22">
        <f>MIN(J22,BU22)</f>
        <v/>
      </c>
      <c r="BW22">
        <f>H22+BQ22+Q22+BV22</f>
        <v/>
      </c>
      <c r="BX22">
        <f>MAX(0,BW22-G22-BT22)</f>
        <v/>
      </c>
      <c r="BY22">
        <f>MAX(0,G22+BT22-BW22)</f>
        <v/>
      </c>
      <c r="BZ22">
        <f>IF(C22=0,0,MAX(0,I22-BQ22)*(1+D22))</f>
        <v/>
      </c>
      <c r="CA22">
        <f>IF(C22=0,0,MAX(0,J22-BV22)*(1+D22))</f>
        <v/>
      </c>
      <c r="CB22">
        <f>IF(C22=0,0,MAX(0,K22-Q22+BX22)*(1+D22))</f>
        <v/>
      </c>
      <c r="CC22">
        <f>IF(C22=0,CC21,BZ22+CA22+CB22)</f>
        <v/>
      </c>
      <c r="CD22">
        <f>IF(C22=0,9999,IF(OR(BY22&gt;0.0001,CC22&lt;=0.0001),B22,9999))</f>
        <v/>
      </c>
    </row>
    <row r="23">
      <c r="A23" t="n">
        <v>21</v>
      </c>
      <c r="B23">
        <f>Tables!$B$13+A23</f>
        <v/>
      </c>
      <c r="C23">
        <f>IF(B23&lt;=Tables!$B$18,1,0)</f>
        <v/>
      </c>
      <c r="D23">
        <f>INDEX(Tables!$B$83:$B$123,A23+1)</f>
        <v/>
      </c>
      <c r="E23">
        <f>IF(A23=0,0,INDEX(Tables!$B$83:$B$123,A23))</f>
        <v/>
      </c>
      <c r="F23">
        <f>IF(AND(C23=1,Tables!$B$17="YES",A23&gt;0,E23&lt;Tables!$B$16),Tables!$B$15,0)</f>
        <v/>
      </c>
      <c r="G23">
        <f>IF(C23=0,0,Tables!$B$8-IF(B23&gt;=Tables!$B$7,Tables!$B$6,0)+IF(B23&lt;Tables!$B$27,Tables!$B$9,Tables!$B$10)-F23)</f>
        <v/>
      </c>
      <c r="H23">
        <f>IF(C23=0,0,IF(B23&gt;=Tables!$B$78,Tables!$D$78,0)+IF(B23&gt;=Tables!$C$78,Tables!$E$78,0))</f>
        <v/>
      </c>
      <c r="I23">
        <f>IF(C23=0,0,BZ22)</f>
        <v/>
      </c>
      <c r="J23">
        <f>IF(C23=0,0,CA22)</f>
        <v/>
      </c>
      <c r="K23">
        <f>IF(C23=0,0,CB22)</f>
        <v/>
      </c>
      <c r="L23">
        <f>IF(C23=0,0,IF(B23&gt;=Tables!$B$19,MIN(I23,I23/VLOOKUP(B23,Tables!$A$41:$B$61,2,FALSE)),0))</f>
        <v/>
      </c>
      <c r="M23">
        <f>IF(L23+0.5*H23&lt;=Tables!$B$24,0,IF(L23+0.5*H23&lt;=Tables!$B$25,MIN(0.5*H23,0.5*(L23+0.5*H23-Tables!$B$24)),MIN(0.85*H23,0.85*(L23+0.5*H23-Tables!$B$25)+MIN(Tables!$B$26,0.5*H23))))</f>
        <v/>
      </c>
      <c r="N23">
        <f>MAX(0,L23+M23-(Tables!$B$22+IF(B23&gt;=Tables!$B$27,2*Tables!$B$23,0)))</f>
        <v/>
      </c>
      <c r="O23">
        <f>SUMPRODUCT(((N23)&gt;Tables!$A$31:$A$37)*((N23)-Tables!$A$31:$A$37)*Tables!$C$31:$C$37)</f>
        <v/>
      </c>
      <c r="P23">
        <f>G23-(H23+L23-O23)</f>
        <v/>
      </c>
      <c r="Q23">
        <f>MIN(K23,MAX(0,P23))</f>
        <v/>
      </c>
      <c r="R23">
        <f>MAX(0,P23-Q23)</f>
        <v/>
      </c>
      <c r="S23">
        <f>MAX(0,I23-L23)</f>
        <v/>
      </c>
      <c r="T23">
        <f>IF((L23+R23)+0.5*H23&lt;=Tables!$B$24,0,IF((L23+R23)+0.5*H23&lt;=Tables!$B$25,MIN(0.5*H23,0.5*((L23+R23)+0.5*H23-Tables!$B$24)),MIN(0.85*H23,0.85*((L23+R23)+0.5*H23-Tables!$B$25)+MIN(Tables!$B$26,0.5*H23))))</f>
        <v/>
      </c>
      <c r="U23">
        <f>R23+SUMPRODUCT(((MAX(0,L23+R23+T23-(Tables!$B$22+IF(B23&gt;=Tables!$B$27,2*Tables!$B$23,0))))&gt;Tables!$A$31:$A$37)*((MAX(0,L23+R23+T23-(Tables!$B$22+IF(B23&gt;=Tables!$B$27,2*Tables!$B$23,0))))-Tables!$A$31:$A$37)*Tables!$C$31:$C$37)-O23</f>
        <v/>
      </c>
      <c r="V23">
        <f>IF((L23+U23)+0.5*H23&lt;=Tables!$B$24,0,IF((L23+U23)+0.5*H23&lt;=Tables!$B$25,MIN(0.5*H23,0.5*((L23+U23)+0.5*H23-Tables!$B$24)),MIN(0.85*H23,0.85*((L23+U23)+0.5*H23-Tables!$B$25)+MIN(Tables!$B$26,0.5*H23))))</f>
        <v/>
      </c>
      <c r="W23">
        <f>R23+SUMPRODUCT(((MAX(0,L23+U23+V23-(Tables!$B$22+IF(B23&gt;=Tables!$B$27,2*Tables!$B$23,0))))&gt;Tables!$A$31:$A$37)*((MAX(0,L23+U23+V23-(Tables!$B$22+IF(B23&gt;=Tables!$B$27,2*Tables!$B$23,0))))-Tables!$A$31:$A$37)*Tables!$C$31:$C$37)-O23</f>
        <v/>
      </c>
      <c r="X23">
        <f>IF((L23+W23)+0.5*H23&lt;=Tables!$B$24,0,IF((L23+W23)+0.5*H23&lt;=Tables!$B$25,MIN(0.5*H23,0.5*((L23+W23)+0.5*H23-Tables!$B$24)),MIN(0.85*H23,0.85*((L23+W23)+0.5*H23-Tables!$B$25)+MIN(Tables!$B$26,0.5*H23))))</f>
        <v/>
      </c>
      <c r="Y23">
        <f>R23+SUMPRODUCT(((MAX(0,L23+W23+X23-(Tables!$B$22+IF(B23&gt;=Tables!$B$27,2*Tables!$B$23,0))))&gt;Tables!$A$31:$A$37)*((MAX(0,L23+W23+X23-(Tables!$B$22+IF(B23&gt;=Tables!$B$27,2*Tables!$B$23,0))))-Tables!$A$31:$A$37)*Tables!$C$31:$C$37)-O23</f>
        <v/>
      </c>
      <c r="Z23">
        <f>IF((L23+Y23)+0.5*H23&lt;=Tables!$B$24,0,IF((L23+Y23)+0.5*H23&lt;=Tables!$B$25,MIN(0.5*H23,0.5*((L23+Y23)+0.5*H23-Tables!$B$24)),MIN(0.85*H23,0.85*((L23+Y23)+0.5*H23-Tables!$B$25)+MIN(Tables!$B$26,0.5*H23))))</f>
        <v/>
      </c>
      <c r="AA23">
        <f>R23+SUMPRODUCT(((MAX(0,L23+Y23+Z23-(Tables!$B$22+IF(B23&gt;=Tables!$B$27,2*Tables!$B$23,0))))&gt;Tables!$A$31:$A$37)*((MAX(0,L23+Y23+Z23-(Tables!$B$22+IF(B23&gt;=Tables!$B$27,2*Tables!$B$23,0))))-Tables!$A$31:$A$37)*Tables!$C$31:$C$37)-O23</f>
        <v/>
      </c>
      <c r="AB23">
        <f>IF((L23+AA23)+0.5*H23&lt;=Tables!$B$24,0,IF((L23+AA23)+0.5*H23&lt;=Tables!$B$25,MIN(0.5*H23,0.5*((L23+AA23)+0.5*H23-Tables!$B$24)),MIN(0.85*H23,0.85*((L23+AA23)+0.5*H23-Tables!$B$25)+MIN(Tables!$B$26,0.5*H23))))</f>
        <v/>
      </c>
      <c r="AC23">
        <f>R23+SUMPRODUCT(((MAX(0,L23+AA23+AB23-(Tables!$B$22+IF(B23&gt;=Tables!$B$27,2*Tables!$B$23,0))))&gt;Tables!$A$31:$A$37)*((MAX(0,L23+AA23+AB23-(Tables!$B$22+IF(B23&gt;=Tables!$B$27,2*Tables!$B$23,0))))-Tables!$A$31:$A$37)*Tables!$C$31:$C$37)-O23</f>
        <v/>
      </c>
      <c r="AD23">
        <f>IF((L23+AC23)+0.5*H23&lt;=Tables!$B$24,0,IF((L23+AC23)+0.5*H23&lt;=Tables!$B$25,MIN(0.5*H23,0.5*((L23+AC23)+0.5*H23-Tables!$B$24)),MIN(0.85*H23,0.85*((L23+AC23)+0.5*H23-Tables!$B$25)+MIN(Tables!$B$26,0.5*H23))))</f>
        <v/>
      </c>
      <c r="AE23">
        <f>R23+SUMPRODUCT(((MAX(0,L23+AC23+AD23-(Tables!$B$22+IF(B23&gt;=Tables!$B$27,2*Tables!$B$23,0))))&gt;Tables!$A$31:$A$37)*((MAX(0,L23+AC23+AD23-(Tables!$B$22+IF(B23&gt;=Tables!$B$27,2*Tables!$B$23,0))))-Tables!$A$31:$A$37)*Tables!$C$31:$C$37)-O23</f>
        <v/>
      </c>
      <c r="AF23">
        <f>IF((L23+AE23)+0.5*H23&lt;=Tables!$B$24,0,IF((L23+AE23)+0.5*H23&lt;=Tables!$B$25,MIN(0.5*H23,0.5*((L23+AE23)+0.5*H23-Tables!$B$24)),MIN(0.85*H23,0.85*((L23+AE23)+0.5*H23-Tables!$B$25)+MIN(Tables!$B$26,0.5*H23))))</f>
        <v/>
      </c>
      <c r="AG23">
        <f>R23+SUMPRODUCT(((MAX(0,L23+AE23+AF23-(Tables!$B$22+IF(B23&gt;=Tables!$B$27,2*Tables!$B$23,0))))&gt;Tables!$A$31:$A$37)*((MAX(0,L23+AE23+AF23-(Tables!$B$22+IF(B23&gt;=Tables!$B$27,2*Tables!$B$23,0))))-Tables!$A$31:$A$37)*Tables!$C$31:$C$37)-O23</f>
        <v/>
      </c>
      <c r="AH23">
        <f>IF((L23+AG23)+0.5*H23&lt;=Tables!$B$24,0,IF((L23+AG23)+0.5*H23&lt;=Tables!$B$25,MIN(0.5*H23,0.5*((L23+AG23)+0.5*H23-Tables!$B$24)),MIN(0.85*H23,0.85*((L23+AG23)+0.5*H23-Tables!$B$25)+MIN(Tables!$B$26,0.5*H23))))</f>
        <v/>
      </c>
      <c r="AI23">
        <f>R23+SUMPRODUCT(((MAX(0,L23+AG23+AH23-(Tables!$B$22+IF(B23&gt;=Tables!$B$27,2*Tables!$B$23,0))))&gt;Tables!$A$31:$A$37)*((MAX(0,L23+AG23+AH23-(Tables!$B$22+IF(B23&gt;=Tables!$B$27,2*Tables!$B$23,0))))-Tables!$A$31:$A$37)*Tables!$C$31:$C$37)-O23</f>
        <v/>
      </c>
      <c r="AJ23">
        <f>IF((L23+AI23)+0.5*H23&lt;=Tables!$B$24,0,IF((L23+AI23)+0.5*H23&lt;=Tables!$B$25,MIN(0.5*H23,0.5*((L23+AI23)+0.5*H23-Tables!$B$24)),MIN(0.85*H23,0.85*((L23+AI23)+0.5*H23-Tables!$B$25)+MIN(Tables!$B$26,0.5*H23))))</f>
        <v/>
      </c>
      <c r="AK23">
        <f>R23+SUMPRODUCT(((MAX(0,L23+AI23+AJ23-(Tables!$B$22+IF(B23&gt;=Tables!$B$27,2*Tables!$B$23,0))))&gt;Tables!$A$31:$A$37)*((MAX(0,L23+AI23+AJ23-(Tables!$B$22+IF(B23&gt;=Tables!$B$27,2*Tables!$B$23,0))))-Tables!$A$31:$A$37)*Tables!$C$31:$C$37)-O23</f>
        <v/>
      </c>
      <c r="AL23">
        <f>IF((L23+AK23)+0.5*H23&lt;=Tables!$B$24,0,IF((L23+AK23)+0.5*H23&lt;=Tables!$B$25,MIN(0.5*H23,0.5*((L23+AK23)+0.5*H23-Tables!$B$24)),MIN(0.85*H23,0.85*((L23+AK23)+0.5*H23-Tables!$B$25)+MIN(Tables!$B$26,0.5*H23))))</f>
        <v/>
      </c>
      <c r="AM23">
        <f>R23+SUMPRODUCT(((MAX(0,L23+AK23+AL23-(Tables!$B$22+IF(B23&gt;=Tables!$B$27,2*Tables!$B$23,0))))&gt;Tables!$A$31:$A$37)*((MAX(0,L23+AK23+AL23-(Tables!$B$22+IF(B23&gt;=Tables!$B$27,2*Tables!$B$23,0))))-Tables!$A$31:$A$37)*Tables!$C$31:$C$37)-O23</f>
        <v/>
      </c>
      <c r="AN23">
        <f>IF((L23+AM23)+0.5*H23&lt;=Tables!$B$24,0,IF((L23+AM23)+0.5*H23&lt;=Tables!$B$25,MIN(0.5*H23,0.5*((L23+AM23)+0.5*H23-Tables!$B$24)),MIN(0.85*H23,0.85*((L23+AM23)+0.5*H23-Tables!$B$25)+MIN(Tables!$B$26,0.5*H23))))</f>
        <v/>
      </c>
      <c r="AO23">
        <f>R23+SUMPRODUCT(((MAX(0,L23+AM23+AN23-(Tables!$B$22+IF(B23&gt;=Tables!$B$27,2*Tables!$B$23,0))))&gt;Tables!$A$31:$A$37)*((MAX(0,L23+AM23+AN23-(Tables!$B$22+IF(B23&gt;=Tables!$B$27,2*Tables!$B$23,0))))-Tables!$A$31:$A$37)*Tables!$C$31:$C$37)-O23</f>
        <v/>
      </c>
      <c r="AP23">
        <f>IF((L23+AO23)+0.5*H23&lt;=Tables!$B$24,0,IF((L23+AO23)+0.5*H23&lt;=Tables!$B$25,MIN(0.5*H23,0.5*((L23+AO23)+0.5*H23-Tables!$B$24)),MIN(0.85*H23,0.85*((L23+AO23)+0.5*H23-Tables!$B$25)+MIN(Tables!$B$26,0.5*H23))))</f>
        <v/>
      </c>
      <c r="AQ23">
        <f>R23+SUMPRODUCT(((MAX(0,L23+AO23+AP23-(Tables!$B$22+IF(B23&gt;=Tables!$B$27,2*Tables!$B$23,0))))&gt;Tables!$A$31:$A$37)*((MAX(0,L23+AO23+AP23-(Tables!$B$22+IF(B23&gt;=Tables!$B$27,2*Tables!$B$23,0))))-Tables!$A$31:$A$37)*Tables!$C$31:$C$37)-O23</f>
        <v/>
      </c>
      <c r="AR23">
        <f>IF((L23+AQ23)+0.5*H23&lt;=Tables!$B$24,0,IF((L23+AQ23)+0.5*H23&lt;=Tables!$B$25,MIN(0.5*H23,0.5*((L23+AQ23)+0.5*H23-Tables!$B$24)),MIN(0.85*H23,0.85*((L23+AQ23)+0.5*H23-Tables!$B$25)+MIN(Tables!$B$26,0.5*H23))))</f>
        <v/>
      </c>
      <c r="AS23">
        <f>R23+SUMPRODUCT(((MAX(0,L23+AQ23+AR23-(Tables!$B$22+IF(B23&gt;=Tables!$B$27,2*Tables!$B$23,0))))&gt;Tables!$A$31:$A$37)*((MAX(0,L23+AQ23+AR23-(Tables!$B$22+IF(B23&gt;=Tables!$B$27,2*Tables!$B$23,0))))-Tables!$A$31:$A$37)*Tables!$C$31:$C$37)-O23</f>
        <v/>
      </c>
      <c r="AT23">
        <f>IF((L23+AS23)+0.5*H23&lt;=Tables!$B$24,0,IF((L23+AS23)+0.5*H23&lt;=Tables!$B$25,MIN(0.5*H23,0.5*((L23+AS23)+0.5*H23-Tables!$B$24)),MIN(0.85*H23,0.85*((L23+AS23)+0.5*H23-Tables!$B$25)+MIN(Tables!$B$26,0.5*H23))))</f>
        <v/>
      </c>
      <c r="AU23">
        <f>R23+SUMPRODUCT(((MAX(0,L23+AS23+AT23-(Tables!$B$22+IF(B23&gt;=Tables!$B$27,2*Tables!$B$23,0))))&gt;Tables!$A$31:$A$37)*((MAX(0,L23+AS23+AT23-(Tables!$B$22+IF(B23&gt;=Tables!$B$27,2*Tables!$B$23,0))))-Tables!$A$31:$A$37)*Tables!$C$31:$C$37)-O23</f>
        <v/>
      </c>
      <c r="AV23">
        <f>IF((L23+AU23)+0.5*H23&lt;=Tables!$B$24,0,IF((L23+AU23)+0.5*H23&lt;=Tables!$B$25,MIN(0.5*H23,0.5*((L23+AU23)+0.5*H23-Tables!$B$24)),MIN(0.85*H23,0.85*((L23+AU23)+0.5*H23-Tables!$B$25)+MIN(Tables!$B$26,0.5*H23))))</f>
        <v/>
      </c>
      <c r="AW23">
        <f>R23+SUMPRODUCT(((MAX(0,L23+AU23+AV23-(Tables!$B$22+IF(B23&gt;=Tables!$B$27,2*Tables!$B$23,0))))&gt;Tables!$A$31:$A$37)*((MAX(0,L23+AU23+AV23-(Tables!$B$22+IF(B23&gt;=Tables!$B$27,2*Tables!$B$23,0))))-Tables!$A$31:$A$37)*Tables!$C$31:$C$37)-O23</f>
        <v/>
      </c>
      <c r="AX23">
        <f>IF((L23+AW23)+0.5*H23&lt;=Tables!$B$24,0,IF((L23+AW23)+0.5*H23&lt;=Tables!$B$25,MIN(0.5*H23,0.5*((L23+AW23)+0.5*H23-Tables!$B$24)),MIN(0.85*H23,0.85*((L23+AW23)+0.5*H23-Tables!$B$25)+MIN(Tables!$B$26,0.5*H23))))</f>
        <v/>
      </c>
      <c r="AY23">
        <f>R23+SUMPRODUCT(((MAX(0,L23+AW23+AX23-(Tables!$B$22+IF(B23&gt;=Tables!$B$27,2*Tables!$B$23,0))))&gt;Tables!$A$31:$A$37)*((MAX(0,L23+AW23+AX23-(Tables!$B$22+IF(B23&gt;=Tables!$B$27,2*Tables!$B$23,0))))-Tables!$A$31:$A$37)*Tables!$C$31:$C$37)-O23</f>
        <v/>
      </c>
      <c r="AZ23">
        <f>IF((L23+AY23)+0.5*H23&lt;=Tables!$B$24,0,IF((L23+AY23)+0.5*H23&lt;=Tables!$B$25,MIN(0.5*H23,0.5*((L23+AY23)+0.5*H23-Tables!$B$24)),MIN(0.85*H23,0.85*((L23+AY23)+0.5*H23-Tables!$B$25)+MIN(Tables!$B$26,0.5*H23))))</f>
        <v/>
      </c>
      <c r="BA23">
        <f>R23+SUMPRODUCT(((MAX(0,L23+AY23+AZ23-(Tables!$B$22+IF(B23&gt;=Tables!$B$27,2*Tables!$B$23,0))))&gt;Tables!$A$31:$A$37)*((MAX(0,L23+AY23+AZ23-(Tables!$B$22+IF(B23&gt;=Tables!$B$27,2*Tables!$B$23,0))))-Tables!$A$31:$A$37)*Tables!$C$31:$C$37)-O23</f>
        <v/>
      </c>
      <c r="BB23">
        <f>IF((L23+BA23)+0.5*H23&lt;=Tables!$B$24,0,IF((L23+BA23)+0.5*H23&lt;=Tables!$B$25,MIN(0.5*H23,0.5*((L23+BA23)+0.5*H23-Tables!$B$24)),MIN(0.85*H23,0.85*((L23+BA23)+0.5*H23-Tables!$B$25)+MIN(Tables!$B$26,0.5*H23))))</f>
        <v/>
      </c>
      <c r="BC23">
        <f>R23+SUMPRODUCT(((MAX(0,L23+BA23+BB23-(Tables!$B$22+IF(B23&gt;=Tables!$B$27,2*Tables!$B$23,0))))&gt;Tables!$A$31:$A$37)*((MAX(0,L23+BA23+BB23-(Tables!$B$22+IF(B23&gt;=Tables!$B$27,2*Tables!$B$23,0))))-Tables!$A$31:$A$37)*Tables!$C$31:$C$37)-O23</f>
        <v/>
      </c>
      <c r="BD23">
        <f>IF((L23+BC23)+0.5*H23&lt;=Tables!$B$24,0,IF((L23+BC23)+0.5*H23&lt;=Tables!$B$25,MIN(0.5*H23,0.5*((L23+BC23)+0.5*H23-Tables!$B$24)),MIN(0.85*H23,0.85*((L23+BC23)+0.5*H23-Tables!$B$25)+MIN(Tables!$B$26,0.5*H23))))</f>
        <v/>
      </c>
      <c r="BE23">
        <f>R23+SUMPRODUCT(((MAX(0,L23+BC23+BD23-(Tables!$B$22+IF(B23&gt;=Tables!$B$27,2*Tables!$B$23,0))))&gt;Tables!$A$31:$A$37)*((MAX(0,L23+BC23+BD23-(Tables!$B$22+IF(B23&gt;=Tables!$B$27,2*Tables!$B$23,0))))-Tables!$A$31:$A$37)*Tables!$C$31:$C$37)-O23</f>
        <v/>
      </c>
      <c r="BF23">
        <f>IF((L23+BE23)+0.5*H23&lt;=Tables!$B$24,0,IF((L23+BE23)+0.5*H23&lt;=Tables!$B$25,MIN(0.5*H23,0.5*((L23+BE23)+0.5*H23-Tables!$B$24)),MIN(0.85*H23,0.85*((L23+BE23)+0.5*H23-Tables!$B$25)+MIN(Tables!$B$26,0.5*H23))))</f>
        <v/>
      </c>
      <c r="BG23">
        <f>R23+SUMPRODUCT(((MAX(0,L23+BE23+BF23-(Tables!$B$22+IF(B23&gt;=Tables!$B$27,2*Tables!$B$23,0))))&gt;Tables!$A$31:$A$37)*((MAX(0,L23+BE23+BF23-(Tables!$B$22+IF(B23&gt;=Tables!$B$27,2*Tables!$B$23,0))))-Tables!$A$31:$A$37)*Tables!$C$31:$C$37)-O23</f>
        <v/>
      </c>
      <c r="BH23">
        <f>IF((L23+BG23)+0.5*H23&lt;=Tables!$B$24,0,IF((L23+BG23)+0.5*H23&lt;=Tables!$B$25,MIN(0.5*H23,0.5*((L23+BG23)+0.5*H23-Tables!$B$24)),MIN(0.85*H23,0.85*((L23+BG23)+0.5*H23-Tables!$B$25)+MIN(Tables!$B$26,0.5*H23))))</f>
        <v/>
      </c>
      <c r="BI23">
        <f>R23+SUMPRODUCT(((MAX(0,L23+BG23+BH23-(Tables!$B$22+IF(B23&gt;=Tables!$B$27,2*Tables!$B$23,0))))&gt;Tables!$A$31:$A$37)*((MAX(0,L23+BG23+BH23-(Tables!$B$22+IF(B23&gt;=Tables!$B$27,2*Tables!$B$23,0))))-Tables!$A$31:$A$37)*Tables!$C$31:$C$37)-O23</f>
        <v/>
      </c>
      <c r="BJ23">
        <f>IF((L23+BI23)+0.5*H23&lt;=Tables!$B$24,0,IF((L23+BI23)+0.5*H23&lt;=Tables!$B$25,MIN(0.5*H23,0.5*((L23+BI23)+0.5*H23-Tables!$B$24)),MIN(0.85*H23,0.85*((L23+BI23)+0.5*H23-Tables!$B$25)+MIN(Tables!$B$26,0.5*H23))))</f>
        <v/>
      </c>
      <c r="BK23">
        <f>R23+SUMPRODUCT(((MAX(0,L23+BI23+BJ23-(Tables!$B$22+IF(B23&gt;=Tables!$B$27,2*Tables!$B$23,0))))&gt;Tables!$A$31:$A$37)*((MAX(0,L23+BI23+BJ23-(Tables!$B$22+IF(B23&gt;=Tables!$B$27,2*Tables!$B$23,0))))-Tables!$A$31:$A$37)*Tables!$C$31:$C$37)-O23</f>
        <v/>
      </c>
      <c r="BL23">
        <f>IF((L23+BK23)+0.5*H23&lt;=Tables!$B$24,0,IF((L23+BK23)+0.5*H23&lt;=Tables!$B$25,MIN(0.5*H23,0.5*((L23+BK23)+0.5*H23-Tables!$B$24)),MIN(0.85*H23,0.85*((L23+BK23)+0.5*H23-Tables!$B$25)+MIN(Tables!$B$26,0.5*H23))))</f>
        <v/>
      </c>
      <c r="BM23">
        <f>R23+SUMPRODUCT(((MAX(0,L23+BK23+BL23-(Tables!$B$22+IF(B23&gt;=Tables!$B$27,2*Tables!$B$23,0))))&gt;Tables!$A$31:$A$37)*((MAX(0,L23+BK23+BL23-(Tables!$B$22+IF(B23&gt;=Tables!$B$27,2*Tables!$B$23,0))))-Tables!$A$31:$A$37)*Tables!$C$31:$C$37)-O23</f>
        <v/>
      </c>
      <c r="BN23">
        <f>IF((L23+BM23)+0.5*H23&lt;=Tables!$B$24,0,IF((L23+BM23)+0.5*H23&lt;=Tables!$B$25,MIN(0.5*H23,0.5*((L23+BM23)+0.5*H23-Tables!$B$24)),MIN(0.85*H23,0.85*((L23+BM23)+0.5*H23-Tables!$B$25)+MIN(Tables!$B$26,0.5*H23))))</f>
        <v/>
      </c>
      <c r="BO23">
        <f>R23+SUMPRODUCT(((MAX(0,L23+BM23+BN23-(Tables!$B$22+IF(B23&gt;=Tables!$B$27,2*Tables!$B$23,0))))&gt;Tables!$A$31:$A$37)*((MAX(0,L23+BM23+BN23-(Tables!$B$22+IF(B23&gt;=Tables!$B$27,2*Tables!$B$23,0))))-Tables!$A$31:$A$37)*Tables!$C$31:$C$37)-O23</f>
        <v/>
      </c>
      <c r="BP23">
        <f>MIN(BO23,S23)</f>
        <v/>
      </c>
      <c r="BQ23">
        <f>L23+BP23</f>
        <v/>
      </c>
      <c r="BR23">
        <f>IF(BQ23+0.5*H23&lt;=Tables!$B$24,0,IF(BQ23+0.5*H23&lt;=Tables!$B$25,MIN(0.5*H23,0.5*(BQ23+0.5*H23-Tables!$B$24)),MIN(0.85*H23,0.85*(BQ23+0.5*H23-Tables!$B$25)+MIN(Tables!$B$26,0.5*H23))))</f>
        <v/>
      </c>
      <c r="BS23">
        <f>MAX(0,BQ23+BR23-(Tables!$B$22+IF(B23&gt;=Tables!$B$27,2*Tables!$B$23,0)))</f>
        <v/>
      </c>
      <c r="BT23">
        <f>SUMPRODUCT(((BS23)&gt;Tables!$A$31:$A$37)*((BS23)-Tables!$A$31:$A$37)*Tables!$C$31:$C$37)</f>
        <v/>
      </c>
      <c r="BU23">
        <f>MAX(0,G23-(H23+BQ23+Q23-BT23))</f>
        <v/>
      </c>
      <c r="BV23">
        <f>MIN(J23,BU23)</f>
        <v/>
      </c>
      <c r="BW23">
        <f>H23+BQ23+Q23+BV23</f>
        <v/>
      </c>
      <c r="BX23">
        <f>MAX(0,BW23-G23-BT23)</f>
        <v/>
      </c>
      <c r="BY23">
        <f>MAX(0,G23+BT23-BW23)</f>
        <v/>
      </c>
      <c r="BZ23">
        <f>IF(C23=0,0,MAX(0,I23-BQ23)*(1+D23))</f>
        <v/>
      </c>
      <c r="CA23">
        <f>IF(C23=0,0,MAX(0,J23-BV23)*(1+D23))</f>
        <v/>
      </c>
      <c r="CB23">
        <f>IF(C23=0,0,MAX(0,K23-Q23+BX23)*(1+D23))</f>
        <v/>
      </c>
      <c r="CC23">
        <f>IF(C23=0,CC22,BZ23+CA23+CB23)</f>
        <v/>
      </c>
      <c r="CD23">
        <f>IF(C23=0,9999,IF(OR(BY23&gt;0.0001,CC23&lt;=0.0001),B23,9999))</f>
        <v/>
      </c>
    </row>
    <row r="24">
      <c r="A24" t="n">
        <v>22</v>
      </c>
      <c r="B24">
        <f>Tables!$B$13+A24</f>
        <v/>
      </c>
      <c r="C24">
        <f>IF(B24&lt;=Tables!$B$18,1,0)</f>
        <v/>
      </c>
      <c r="D24">
        <f>INDEX(Tables!$B$83:$B$123,A24+1)</f>
        <v/>
      </c>
      <c r="E24">
        <f>IF(A24=0,0,INDEX(Tables!$B$83:$B$123,A24))</f>
        <v/>
      </c>
      <c r="F24">
        <f>IF(AND(C24=1,Tables!$B$17="YES",A24&gt;0,E24&lt;Tables!$B$16),Tables!$B$15,0)</f>
        <v/>
      </c>
      <c r="G24">
        <f>IF(C24=0,0,Tables!$B$8-IF(B24&gt;=Tables!$B$7,Tables!$B$6,0)+IF(B24&lt;Tables!$B$27,Tables!$B$9,Tables!$B$10)-F24)</f>
        <v/>
      </c>
      <c r="H24">
        <f>IF(C24=0,0,IF(B24&gt;=Tables!$B$78,Tables!$D$78,0)+IF(B24&gt;=Tables!$C$78,Tables!$E$78,0))</f>
        <v/>
      </c>
      <c r="I24">
        <f>IF(C24=0,0,BZ23)</f>
        <v/>
      </c>
      <c r="J24">
        <f>IF(C24=0,0,CA23)</f>
        <v/>
      </c>
      <c r="K24">
        <f>IF(C24=0,0,CB23)</f>
        <v/>
      </c>
      <c r="L24">
        <f>IF(C24=0,0,IF(B24&gt;=Tables!$B$19,MIN(I24,I24/VLOOKUP(B24,Tables!$A$41:$B$61,2,FALSE)),0))</f>
        <v/>
      </c>
      <c r="M24">
        <f>IF(L24+0.5*H24&lt;=Tables!$B$24,0,IF(L24+0.5*H24&lt;=Tables!$B$25,MIN(0.5*H24,0.5*(L24+0.5*H24-Tables!$B$24)),MIN(0.85*H24,0.85*(L24+0.5*H24-Tables!$B$25)+MIN(Tables!$B$26,0.5*H24))))</f>
        <v/>
      </c>
      <c r="N24">
        <f>MAX(0,L24+M24-(Tables!$B$22+IF(B24&gt;=Tables!$B$27,2*Tables!$B$23,0)))</f>
        <v/>
      </c>
      <c r="O24">
        <f>SUMPRODUCT(((N24)&gt;Tables!$A$31:$A$37)*((N24)-Tables!$A$31:$A$37)*Tables!$C$31:$C$37)</f>
        <v/>
      </c>
      <c r="P24">
        <f>G24-(H24+L24-O24)</f>
        <v/>
      </c>
      <c r="Q24">
        <f>MIN(K24,MAX(0,P24))</f>
        <v/>
      </c>
      <c r="R24">
        <f>MAX(0,P24-Q24)</f>
        <v/>
      </c>
      <c r="S24">
        <f>MAX(0,I24-L24)</f>
        <v/>
      </c>
      <c r="T24">
        <f>IF((L24+R24)+0.5*H24&lt;=Tables!$B$24,0,IF((L24+R24)+0.5*H24&lt;=Tables!$B$25,MIN(0.5*H24,0.5*((L24+R24)+0.5*H24-Tables!$B$24)),MIN(0.85*H24,0.85*((L24+R24)+0.5*H24-Tables!$B$25)+MIN(Tables!$B$26,0.5*H24))))</f>
        <v/>
      </c>
      <c r="U24">
        <f>R24+SUMPRODUCT(((MAX(0,L24+R24+T24-(Tables!$B$22+IF(B24&gt;=Tables!$B$27,2*Tables!$B$23,0))))&gt;Tables!$A$31:$A$37)*((MAX(0,L24+R24+T24-(Tables!$B$22+IF(B24&gt;=Tables!$B$27,2*Tables!$B$23,0))))-Tables!$A$31:$A$37)*Tables!$C$31:$C$37)-O24</f>
        <v/>
      </c>
      <c r="V24">
        <f>IF((L24+U24)+0.5*H24&lt;=Tables!$B$24,0,IF((L24+U24)+0.5*H24&lt;=Tables!$B$25,MIN(0.5*H24,0.5*((L24+U24)+0.5*H24-Tables!$B$24)),MIN(0.85*H24,0.85*((L24+U24)+0.5*H24-Tables!$B$25)+MIN(Tables!$B$26,0.5*H24))))</f>
        <v/>
      </c>
      <c r="W24">
        <f>R24+SUMPRODUCT(((MAX(0,L24+U24+V24-(Tables!$B$22+IF(B24&gt;=Tables!$B$27,2*Tables!$B$23,0))))&gt;Tables!$A$31:$A$37)*((MAX(0,L24+U24+V24-(Tables!$B$22+IF(B24&gt;=Tables!$B$27,2*Tables!$B$23,0))))-Tables!$A$31:$A$37)*Tables!$C$31:$C$37)-O24</f>
        <v/>
      </c>
      <c r="X24">
        <f>IF((L24+W24)+0.5*H24&lt;=Tables!$B$24,0,IF((L24+W24)+0.5*H24&lt;=Tables!$B$25,MIN(0.5*H24,0.5*((L24+W24)+0.5*H24-Tables!$B$24)),MIN(0.85*H24,0.85*((L24+W24)+0.5*H24-Tables!$B$25)+MIN(Tables!$B$26,0.5*H24))))</f>
        <v/>
      </c>
      <c r="Y24">
        <f>R24+SUMPRODUCT(((MAX(0,L24+W24+X24-(Tables!$B$22+IF(B24&gt;=Tables!$B$27,2*Tables!$B$23,0))))&gt;Tables!$A$31:$A$37)*((MAX(0,L24+W24+X24-(Tables!$B$22+IF(B24&gt;=Tables!$B$27,2*Tables!$B$23,0))))-Tables!$A$31:$A$37)*Tables!$C$31:$C$37)-O24</f>
        <v/>
      </c>
      <c r="Z24">
        <f>IF((L24+Y24)+0.5*H24&lt;=Tables!$B$24,0,IF((L24+Y24)+0.5*H24&lt;=Tables!$B$25,MIN(0.5*H24,0.5*((L24+Y24)+0.5*H24-Tables!$B$24)),MIN(0.85*H24,0.85*((L24+Y24)+0.5*H24-Tables!$B$25)+MIN(Tables!$B$26,0.5*H24))))</f>
        <v/>
      </c>
      <c r="AA24">
        <f>R24+SUMPRODUCT(((MAX(0,L24+Y24+Z24-(Tables!$B$22+IF(B24&gt;=Tables!$B$27,2*Tables!$B$23,0))))&gt;Tables!$A$31:$A$37)*((MAX(0,L24+Y24+Z24-(Tables!$B$22+IF(B24&gt;=Tables!$B$27,2*Tables!$B$23,0))))-Tables!$A$31:$A$37)*Tables!$C$31:$C$37)-O24</f>
        <v/>
      </c>
      <c r="AB24">
        <f>IF((L24+AA24)+0.5*H24&lt;=Tables!$B$24,0,IF((L24+AA24)+0.5*H24&lt;=Tables!$B$25,MIN(0.5*H24,0.5*((L24+AA24)+0.5*H24-Tables!$B$24)),MIN(0.85*H24,0.85*((L24+AA24)+0.5*H24-Tables!$B$25)+MIN(Tables!$B$26,0.5*H24))))</f>
        <v/>
      </c>
      <c r="AC24">
        <f>R24+SUMPRODUCT(((MAX(0,L24+AA24+AB24-(Tables!$B$22+IF(B24&gt;=Tables!$B$27,2*Tables!$B$23,0))))&gt;Tables!$A$31:$A$37)*((MAX(0,L24+AA24+AB24-(Tables!$B$22+IF(B24&gt;=Tables!$B$27,2*Tables!$B$23,0))))-Tables!$A$31:$A$37)*Tables!$C$31:$C$37)-O24</f>
        <v/>
      </c>
      <c r="AD24">
        <f>IF((L24+AC24)+0.5*H24&lt;=Tables!$B$24,0,IF((L24+AC24)+0.5*H24&lt;=Tables!$B$25,MIN(0.5*H24,0.5*((L24+AC24)+0.5*H24-Tables!$B$24)),MIN(0.85*H24,0.85*((L24+AC24)+0.5*H24-Tables!$B$25)+MIN(Tables!$B$26,0.5*H24))))</f>
        <v/>
      </c>
      <c r="AE24">
        <f>R24+SUMPRODUCT(((MAX(0,L24+AC24+AD24-(Tables!$B$22+IF(B24&gt;=Tables!$B$27,2*Tables!$B$23,0))))&gt;Tables!$A$31:$A$37)*((MAX(0,L24+AC24+AD24-(Tables!$B$22+IF(B24&gt;=Tables!$B$27,2*Tables!$B$23,0))))-Tables!$A$31:$A$37)*Tables!$C$31:$C$37)-O24</f>
        <v/>
      </c>
      <c r="AF24">
        <f>IF((L24+AE24)+0.5*H24&lt;=Tables!$B$24,0,IF((L24+AE24)+0.5*H24&lt;=Tables!$B$25,MIN(0.5*H24,0.5*((L24+AE24)+0.5*H24-Tables!$B$24)),MIN(0.85*H24,0.85*((L24+AE24)+0.5*H24-Tables!$B$25)+MIN(Tables!$B$26,0.5*H24))))</f>
        <v/>
      </c>
      <c r="AG24">
        <f>R24+SUMPRODUCT(((MAX(0,L24+AE24+AF24-(Tables!$B$22+IF(B24&gt;=Tables!$B$27,2*Tables!$B$23,0))))&gt;Tables!$A$31:$A$37)*((MAX(0,L24+AE24+AF24-(Tables!$B$22+IF(B24&gt;=Tables!$B$27,2*Tables!$B$23,0))))-Tables!$A$31:$A$37)*Tables!$C$31:$C$37)-O24</f>
        <v/>
      </c>
      <c r="AH24">
        <f>IF((L24+AG24)+0.5*H24&lt;=Tables!$B$24,0,IF((L24+AG24)+0.5*H24&lt;=Tables!$B$25,MIN(0.5*H24,0.5*((L24+AG24)+0.5*H24-Tables!$B$24)),MIN(0.85*H24,0.85*((L24+AG24)+0.5*H24-Tables!$B$25)+MIN(Tables!$B$26,0.5*H24))))</f>
        <v/>
      </c>
      <c r="AI24">
        <f>R24+SUMPRODUCT(((MAX(0,L24+AG24+AH24-(Tables!$B$22+IF(B24&gt;=Tables!$B$27,2*Tables!$B$23,0))))&gt;Tables!$A$31:$A$37)*((MAX(0,L24+AG24+AH24-(Tables!$B$22+IF(B24&gt;=Tables!$B$27,2*Tables!$B$23,0))))-Tables!$A$31:$A$37)*Tables!$C$31:$C$37)-O24</f>
        <v/>
      </c>
      <c r="AJ24">
        <f>IF((L24+AI24)+0.5*H24&lt;=Tables!$B$24,0,IF((L24+AI24)+0.5*H24&lt;=Tables!$B$25,MIN(0.5*H24,0.5*((L24+AI24)+0.5*H24-Tables!$B$24)),MIN(0.85*H24,0.85*((L24+AI24)+0.5*H24-Tables!$B$25)+MIN(Tables!$B$26,0.5*H24))))</f>
        <v/>
      </c>
      <c r="AK24">
        <f>R24+SUMPRODUCT(((MAX(0,L24+AI24+AJ24-(Tables!$B$22+IF(B24&gt;=Tables!$B$27,2*Tables!$B$23,0))))&gt;Tables!$A$31:$A$37)*((MAX(0,L24+AI24+AJ24-(Tables!$B$22+IF(B24&gt;=Tables!$B$27,2*Tables!$B$23,0))))-Tables!$A$31:$A$37)*Tables!$C$31:$C$37)-O24</f>
        <v/>
      </c>
      <c r="AL24">
        <f>IF((L24+AK24)+0.5*H24&lt;=Tables!$B$24,0,IF((L24+AK24)+0.5*H24&lt;=Tables!$B$25,MIN(0.5*H24,0.5*((L24+AK24)+0.5*H24-Tables!$B$24)),MIN(0.85*H24,0.85*((L24+AK24)+0.5*H24-Tables!$B$25)+MIN(Tables!$B$26,0.5*H24))))</f>
        <v/>
      </c>
      <c r="AM24">
        <f>R24+SUMPRODUCT(((MAX(0,L24+AK24+AL24-(Tables!$B$22+IF(B24&gt;=Tables!$B$27,2*Tables!$B$23,0))))&gt;Tables!$A$31:$A$37)*((MAX(0,L24+AK24+AL24-(Tables!$B$22+IF(B24&gt;=Tables!$B$27,2*Tables!$B$23,0))))-Tables!$A$31:$A$37)*Tables!$C$31:$C$37)-O24</f>
        <v/>
      </c>
      <c r="AN24">
        <f>IF((L24+AM24)+0.5*H24&lt;=Tables!$B$24,0,IF((L24+AM24)+0.5*H24&lt;=Tables!$B$25,MIN(0.5*H24,0.5*((L24+AM24)+0.5*H24-Tables!$B$24)),MIN(0.85*H24,0.85*((L24+AM24)+0.5*H24-Tables!$B$25)+MIN(Tables!$B$26,0.5*H24))))</f>
        <v/>
      </c>
      <c r="AO24">
        <f>R24+SUMPRODUCT(((MAX(0,L24+AM24+AN24-(Tables!$B$22+IF(B24&gt;=Tables!$B$27,2*Tables!$B$23,0))))&gt;Tables!$A$31:$A$37)*((MAX(0,L24+AM24+AN24-(Tables!$B$22+IF(B24&gt;=Tables!$B$27,2*Tables!$B$23,0))))-Tables!$A$31:$A$37)*Tables!$C$31:$C$37)-O24</f>
        <v/>
      </c>
      <c r="AP24">
        <f>IF((L24+AO24)+0.5*H24&lt;=Tables!$B$24,0,IF((L24+AO24)+0.5*H24&lt;=Tables!$B$25,MIN(0.5*H24,0.5*((L24+AO24)+0.5*H24-Tables!$B$24)),MIN(0.85*H24,0.85*((L24+AO24)+0.5*H24-Tables!$B$25)+MIN(Tables!$B$26,0.5*H24))))</f>
        <v/>
      </c>
      <c r="AQ24">
        <f>R24+SUMPRODUCT(((MAX(0,L24+AO24+AP24-(Tables!$B$22+IF(B24&gt;=Tables!$B$27,2*Tables!$B$23,0))))&gt;Tables!$A$31:$A$37)*((MAX(0,L24+AO24+AP24-(Tables!$B$22+IF(B24&gt;=Tables!$B$27,2*Tables!$B$23,0))))-Tables!$A$31:$A$37)*Tables!$C$31:$C$37)-O24</f>
        <v/>
      </c>
      <c r="AR24">
        <f>IF((L24+AQ24)+0.5*H24&lt;=Tables!$B$24,0,IF((L24+AQ24)+0.5*H24&lt;=Tables!$B$25,MIN(0.5*H24,0.5*((L24+AQ24)+0.5*H24-Tables!$B$24)),MIN(0.85*H24,0.85*((L24+AQ24)+0.5*H24-Tables!$B$25)+MIN(Tables!$B$26,0.5*H24))))</f>
        <v/>
      </c>
      <c r="AS24">
        <f>R24+SUMPRODUCT(((MAX(0,L24+AQ24+AR24-(Tables!$B$22+IF(B24&gt;=Tables!$B$27,2*Tables!$B$23,0))))&gt;Tables!$A$31:$A$37)*((MAX(0,L24+AQ24+AR24-(Tables!$B$22+IF(B24&gt;=Tables!$B$27,2*Tables!$B$23,0))))-Tables!$A$31:$A$37)*Tables!$C$31:$C$37)-O24</f>
        <v/>
      </c>
      <c r="AT24">
        <f>IF((L24+AS24)+0.5*H24&lt;=Tables!$B$24,0,IF((L24+AS24)+0.5*H24&lt;=Tables!$B$25,MIN(0.5*H24,0.5*((L24+AS24)+0.5*H24-Tables!$B$24)),MIN(0.85*H24,0.85*((L24+AS24)+0.5*H24-Tables!$B$25)+MIN(Tables!$B$26,0.5*H24))))</f>
        <v/>
      </c>
      <c r="AU24">
        <f>R24+SUMPRODUCT(((MAX(0,L24+AS24+AT24-(Tables!$B$22+IF(B24&gt;=Tables!$B$27,2*Tables!$B$23,0))))&gt;Tables!$A$31:$A$37)*((MAX(0,L24+AS24+AT24-(Tables!$B$22+IF(B24&gt;=Tables!$B$27,2*Tables!$B$23,0))))-Tables!$A$31:$A$37)*Tables!$C$31:$C$37)-O24</f>
        <v/>
      </c>
      <c r="AV24">
        <f>IF((L24+AU24)+0.5*H24&lt;=Tables!$B$24,0,IF((L24+AU24)+0.5*H24&lt;=Tables!$B$25,MIN(0.5*H24,0.5*((L24+AU24)+0.5*H24-Tables!$B$24)),MIN(0.85*H24,0.85*((L24+AU24)+0.5*H24-Tables!$B$25)+MIN(Tables!$B$26,0.5*H24))))</f>
        <v/>
      </c>
      <c r="AW24">
        <f>R24+SUMPRODUCT(((MAX(0,L24+AU24+AV24-(Tables!$B$22+IF(B24&gt;=Tables!$B$27,2*Tables!$B$23,0))))&gt;Tables!$A$31:$A$37)*((MAX(0,L24+AU24+AV24-(Tables!$B$22+IF(B24&gt;=Tables!$B$27,2*Tables!$B$23,0))))-Tables!$A$31:$A$37)*Tables!$C$31:$C$37)-O24</f>
        <v/>
      </c>
      <c r="AX24">
        <f>IF((L24+AW24)+0.5*H24&lt;=Tables!$B$24,0,IF((L24+AW24)+0.5*H24&lt;=Tables!$B$25,MIN(0.5*H24,0.5*((L24+AW24)+0.5*H24-Tables!$B$24)),MIN(0.85*H24,0.85*((L24+AW24)+0.5*H24-Tables!$B$25)+MIN(Tables!$B$26,0.5*H24))))</f>
        <v/>
      </c>
      <c r="AY24">
        <f>R24+SUMPRODUCT(((MAX(0,L24+AW24+AX24-(Tables!$B$22+IF(B24&gt;=Tables!$B$27,2*Tables!$B$23,0))))&gt;Tables!$A$31:$A$37)*((MAX(0,L24+AW24+AX24-(Tables!$B$22+IF(B24&gt;=Tables!$B$27,2*Tables!$B$23,0))))-Tables!$A$31:$A$37)*Tables!$C$31:$C$37)-O24</f>
        <v/>
      </c>
      <c r="AZ24">
        <f>IF((L24+AY24)+0.5*H24&lt;=Tables!$B$24,0,IF((L24+AY24)+0.5*H24&lt;=Tables!$B$25,MIN(0.5*H24,0.5*((L24+AY24)+0.5*H24-Tables!$B$24)),MIN(0.85*H24,0.85*((L24+AY24)+0.5*H24-Tables!$B$25)+MIN(Tables!$B$26,0.5*H24))))</f>
        <v/>
      </c>
      <c r="BA24">
        <f>R24+SUMPRODUCT(((MAX(0,L24+AY24+AZ24-(Tables!$B$22+IF(B24&gt;=Tables!$B$27,2*Tables!$B$23,0))))&gt;Tables!$A$31:$A$37)*((MAX(0,L24+AY24+AZ24-(Tables!$B$22+IF(B24&gt;=Tables!$B$27,2*Tables!$B$23,0))))-Tables!$A$31:$A$37)*Tables!$C$31:$C$37)-O24</f>
        <v/>
      </c>
      <c r="BB24">
        <f>IF((L24+BA24)+0.5*H24&lt;=Tables!$B$24,0,IF((L24+BA24)+0.5*H24&lt;=Tables!$B$25,MIN(0.5*H24,0.5*((L24+BA24)+0.5*H24-Tables!$B$24)),MIN(0.85*H24,0.85*((L24+BA24)+0.5*H24-Tables!$B$25)+MIN(Tables!$B$26,0.5*H24))))</f>
        <v/>
      </c>
      <c r="BC24">
        <f>R24+SUMPRODUCT(((MAX(0,L24+BA24+BB24-(Tables!$B$22+IF(B24&gt;=Tables!$B$27,2*Tables!$B$23,0))))&gt;Tables!$A$31:$A$37)*((MAX(0,L24+BA24+BB24-(Tables!$B$22+IF(B24&gt;=Tables!$B$27,2*Tables!$B$23,0))))-Tables!$A$31:$A$37)*Tables!$C$31:$C$37)-O24</f>
        <v/>
      </c>
      <c r="BD24">
        <f>IF((L24+BC24)+0.5*H24&lt;=Tables!$B$24,0,IF((L24+BC24)+0.5*H24&lt;=Tables!$B$25,MIN(0.5*H24,0.5*((L24+BC24)+0.5*H24-Tables!$B$24)),MIN(0.85*H24,0.85*((L24+BC24)+0.5*H24-Tables!$B$25)+MIN(Tables!$B$26,0.5*H24))))</f>
        <v/>
      </c>
      <c r="BE24">
        <f>R24+SUMPRODUCT(((MAX(0,L24+BC24+BD24-(Tables!$B$22+IF(B24&gt;=Tables!$B$27,2*Tables!$B$23,0))))&gt;Tables!$A$31:$A$37)*((MAX(0,L24+BC24+BD24-(Tables!$B$22+IF(B24&gt;=Tables!$B$27,2*Tables!$B$23,0))))-Tables!$A$31:$A$37)*Tables!$C$31:$C$37)-O24</f>
        <v/>
      </c>
      <c r="BF24">
        <f>IF((L24+BE24)+0.5*H24&lt;=Tables!$B$24,0,IF((L24+BE24)+0.5*H24&lt;=Tables!$B$25,MIN(0.5*H24,0.5*((L24+BE24)+0.5*H24-Tables!$B$24)),MIN(0.85*H24,0.85*((L24+BE24)+0.5*H24-Tables!$B$25)+MIN(Tables!$B$26,0.5*H24))))</f>
        <v/>
      </c>
      <c r="BG24">
        <f>R24+SUMPRODUCT(((MAX(0,L24+BE24+BF24-(Tables!$B$22+IF(B24&gt;=Tables!$B$27,2*Tables!$B$23,0))))&gt;Tables!$A$31:$A$37)*((MAX(0,L24+BE24+BF24-(Tables!$B$22+IF(B24&gt;=Tables!$B$27,2*Tables!$B$23,0))))-Tables!$A$31:$A$37)*Tables!$C$31:$C$37)-O24</f>
        <v/>
      </c>
      <c r="BH24">
        <f>IF((L24+BG24)+0.5*H24&lt;=Tables!$B$24,0,IF((L24+BG24)+0.5*H24&lt;=Tables!$B$25,MIN(0.5*H24,0.5*((L24+BG24)+0.5*H24-Tables!$B$24)),MIN(0.85*H24,0.85*((L24+BG24)+0.5*H24-Tables!$B$25)+MIN(Tables!$B$26,0.5*H24))))</f>
        <v/>
      </c>
      <c r="BI24">
        <f>R24+SUMPRODUCT(((MAX(0,L24+BG24+BH24-(Tables!$B$22+IF(B24&gt;=Tables!$B$27,2*Tables!$B$23,0))))&gt;Tables!$A$31:$A$37)*((MAX(0,L24+BG24+BH24-(Tables!$B$22+IF(B24&gt;=Tables!$B$27,2*Tables!$B$23,0))))-Tables!$A$31:$A$37)*Tables!$C$31:$C$37)-O24</f>
        <v/>
      </c>
      <c r="BJ24">
        <f>IF((L24+BI24)+0.5*H24&lt;=Tables!$B$24,0,IF((L24+BI24)+0.5*H24&lt;=Tables!$B$25,MIN(0.5*H24,0.5*((L24+BI24)+0.5*H24-Tables!$B$24)),MIN(0.85*H24,0.85*((L24+BI24)+0.5*H24-Tables!$B$25)+MIN(Tables!$B$26,0.5*H24))))</f>
        <v/>
      </c>
      <c r="BK24">
        <f>R24+SUMPRODUCT(((MAX(0,L24+BI24+BJ24-(Tables!$B$22+IF(B24&gt;=Tables!$B$27,2*Tables!$B$23,0))))&gt;Tables!$A$31:$A$37)*((MAX(0,L24+BI24+BJ24-(Tables!$B$22+IF(B24&gt;=Tables!$B$27,2*Tables!$B$23,0))))-Tables!$A$31:$A$37)*Tables!$C$31:$C$37)-O24</f>
        <v/>
      </c>
      <c r="BL24">
        <f>IF((L24+BK24)+0.5*H24&lt;=Tables!$B$24,0,IF((L24+BK24)+0.5*H24&lt;=Tables!$B$25,MIN(0.5*H24,0.5*((L24+BK24)+0.5*H24-Tables!$B$24)),MIN(0.85*H24,0.85*((L24+BK24)+0.5*H24-Tables!$B$25)+MIN(Tables!$B$26,0.5*H24))))</f>
        <v/>
      </c>
      <c r="BM24">
        <f>R24+SUMPRODUCT(((MAX(0,L24+BK24+BL24-(Tables!$B$22+IF(B24&gt;=Tables!$B$27,2*Tables!$B$23,0))))&gt;Tables!$A$31:$A$37)*((MAX(0,L24+BK24+BL24-(Tables!$B$22+IF(B24&gt;=Tables!$B$27,2*Tables!$B$23,0))))-Tables!$A$31:$A$37)*Tables!$C$31:$C$37)-O24</f>
        <v/>
      </c>
      <c r="BN24">
        <f>IF((L24+BM24)+0.5*H24&lt;=Tables!$B$24,0,IF((L24+BM24)+0.5*H24&lt;=Tables!$B$25,MIN(0.5*H24,0.5*((L24+BM24)+0.5*H24-Tables!$B$24)),MIN(0.85*H24,0.85*((L24+BM24)+0.5*H24-Tables!$B$25)+MIN(Tables!$B$26,0.5*H24))))</f>
        <v/>
      </c>
      <c r="BO24">
        <f>R24+SUMPRODUCT(((MAX(0,L24+BM24+BN24-(Tables!$B$22+IF(B24&gt;=Tables!$B$27,2*Tables!$B$23,0))))&gt;Tables!$A$31:$A$37)*((MAX(0,L24+BM24+BN24-(Tables!$B$22+IF(B24&gt;=Tables!$B$27,2*Tables!$B$23,0))))-Tables!$A$31:$A$37)*Tables!$C$31:$C$37)-O24</f>
        <v/>
      </c>
      <c r="BP24">
        <f>MIN(BO24,S24)</f>
        <v/>
      </c>
      <c r="BQ24">
        <f>L24+BP24</f>
        <v/>
      </c>
      <c r="BR24">
        <f>IF(BQ24+0.5*H24&lt;=Tables!$B$24,0,IF(BQ24+0.5*H24&lt;=Tables!$B$25,MIN(0.5*H24,0.5*(BQ24+0.5*H24-Tables!$B$24)),MIN(0.85*H24,0.85*(BQ24+0.5*H24-Tables!$B$25)+MIN(Tables!$B$26,0.5*H24))))</f>
        <v/>
      </c>
      <c r="BS24">
        <f>MAX(0,BQ24+BR24-(Tables!$B$22+IF(B24&gt;=Tables!$B$27,2*Tables!$B$23,0)))</f>
        <v/>
      </c>
      <c r="BT24">
        <f>SUMPRODUCT(((BS24)&gt;Tables!$A$31:$A$37)*((BS24)-Tables!$A$31:$A$37)*Tables!$C$31:$C$37)</f>
        <v/>
      </c>
      <c r="BU24">
        <f>MAX(0,G24-(H24+BQ24+Q24-BT24))</f>
        <v/>
      </c>
      <c r="BV24">
        <f>MIN(J24,BU24)</f>
        <v/>
      </c>
      <c r="BW24">
        <f>H24+BQ24+Q24+BV24</f>
        <v/>
      </c>
      <c r="BX24">
        <f>MAX(0,BW24-G24-BT24)</f>
        <v/>
      </c>
      <c r="BY24">
        <f>MAX(0,G24+BT24-BW24)</f>
        <v/>
      </c>
      <c r="BZ24">
        <f>IF(C24=0,0,MAX(0,I24-BQ24)*(1+D24))</f>
        <v/>
      </c>
      <c r="CA24">
        <f>IF(C24=0,0,MAX(0,J24-BV24)*(1+D24))</f>
        <v/>
      </c>
      <c r="CB24">
        <f>IF(C24=0,0,MAX(0,K24-Q24+BX24)*(1+D24))</f>
        <v/>
      </c>
      <c r="CC24">
        <f>IF(C24=0,CC23,BZ24+CA24+CB24)</f>
        <v/>
      </c>
      <c r="CD24">
        <f>IF(C24=0,9999,IF(OR(BY24&gt;0.0001,CC24&lt;=0.0001),B24,9999))</f>
        <v/>
      </c>
    </row>
    <row r="25">
      <c r="A25" t="n">
        <v>23</v>
      </c>
      <c r="B25">
        <f>Tables!$B$13+A25</f>
        <v/>
      </c>
      <c r="C25">
        <f>IF(B25&lt;=Tables!$B$18,1,0)</f>
        <v/>
      </c>
      <c r="D25">
        <f>INDEX(Tables!$B$83:$B$123,A25+1)</f>
        <v/>
      </c>
      <c r="E25">
        <f>IF(A25=0,0,INDEX(Tables!$B$83:$B$123,A25))</f>
        <v/>
      </c>
      <c r="F25">
        <f>IF(AND(C25=1,Tables!$B$17="YES",A25&gt;0,E25&lt;Tables!$B$16),Tables!$B$15,0)</f>
        <v/>
      </c>
      <c r="G25">
        <f>IF(C25=0,0,Tables!$B$8-IF(B25&gt;=Tables!$B$7,Tables!$B$6,0)+IF(B25&lt;Tables!$B$27,Tables!$B$9,Tables!$B$10)-F25)</f>
        <v/>
      </c>
      <c r="H25">
        <f>IF(C25=0,0,IF(B25&gt;=Tables!$B$78,Tables!$D$78,0)+IF(B25&gt;=Tables!$C$78,Tables!$E$78,0))</f>
        <v/>
      </c>
      <c r="I25">
        <f>IF(C25=0,0,BZ24)</f>
        <v/>
      </c>
      <c r="J25">
        <f>IF(C25=0,0,CA24)</f>
        <v/>
      </c>
      <c r="K25">
        <f>IF(C25=0,0,CB24)</f>
        <v/>
      </c>
      <c r="L25">
        <f>IF(C25=0,0,IF(B25&gt;=Tables!$B$19,MIN(I25,I25/VLOOKUP(B25,Tables!$A$41:$B$61,2,FALSE)),0))</f>
        <v/>
      </c>
      <c r="M25">
        <f>IF(L25+0.5*H25&lt;=Tables!$B$24,0,IF(L25+0.5*H25&lt;=Tables!$B$25,MIN(0.5*H25,0.5*(L25+0.5*H25-Tables!$B$24)),MIN(0.85*H25,0.85*(L25+0.5*H25-Tables!$B$25)+MIN(Tables!$B$26,0.5*H25))))</f>
        <v/>
      </c>
      <c r="N25">
        <f>MAX(0,L25+M25-(Tables!$B$22+IF(B25&gt;=Tables!$B$27,2*Tables!$B$23,0)))</f>
        <v/>
      </c>
      <c r="O25">
        <f>SUMPRODUCT(((N25)&gt;Tables!$A$31:$A$37)*((N25)-Tables!$A$31:$A$37)*Tables!$C$31:$C$37)</f>
        <v/>
      </c>
      <c r="P25">
        <f>G25-(H25+L25-O25)</f>
        <v/>
      </c>
      <c r="Q25">
        <f>MIN(K25,MAX(0,P25))</f>
        <v/>
      </c>
      <c r="R25">
        <f>MAX(0,P25-Q25)</f>
        <v/>
      </c>
      <c r="S25">
        <f>MAX(0,I25-L25)</f>
        <v/>
      </c>
      <c r="T25">
        <f>IF((L25+R25)+0.5*H25&lt;=Tables!$B$24,0,IF((L25+R25)+0.5*H25&lt;=Tables!$B$25,MIN(0.5*H25,0.5*((L25+R25)+0.5*H25-Tables!$B$24)),MIN(0.85*H25,0.85*((L25+R25)+0.5*H25-Tables!$B$25)+MIN(Tables!$B$26,0.5*H25))))</f>
        <v/>
      </c>
      <c r="U25">
        <f>R25+SUMPRODUCT(((MAX(0,L25+R25+T25-(Tables!$B$22+IF(B25&gt;=Tables!$B$27,2*Tables!$B$23,0))))&gt;Tables!$A$31:$A$37)*((MAX(0,L25+R25+T25-(Tables!$B$22+IF(B25&gt;=Tables!$B$27,2*Tables!$B$23,0))))-Tables!$A$31:$A$37)*Tables!$C$31:$C$37)-O25</f>
        <v/>
      </c>
      <c r="V25">
        <f>IF((L25+U25)+0.5*H25&lt;=Tables!$B$24,0,IF((L25+U25)+0.5*H25&lt;=Tables!$B$25,MIN(0.5*H25,0.5*((L25+U25)+0.5*H25-Tables!$B$24)),MIN(0.85*H25,0.85*((L25+U25)+0.5*H25-Tables!$B$25)+MIN(Tables!$B$26,0.5*H25))))</f>
        <v/>
      </c>
      <c r="W25">
        <f>R25+SUMPRODUCT(((MAX(0,L25+U25+V25-(Tables!$B$22+IF(B25&gt;=Tables!$B$27,2*Tables!$B$23,0))))&gt;Tables!$A$31:$A$37)*((MAX(0,L25+U25+V25-(Tables!$B$22+IF(B25&gt;=Tables!$B$27,2*Tables!$B$23,0))))-Tables!$A$31:$A$37)*Tables!$C$31:$C$37)-O25</f>
        <v/>
      </c>
      <c r="X25">
        <f>IF((L25+W25)+0.5*H25&lt;=Tables!$B$24,0,IF((L25+W25)+0.5*H25&lt;=Tables!$B$25,MIN(0.5*H25,0.5*((L25+W25)+0.5*H25-Tables!$B$24)),MIN(0.85*H25,0.85*((L25+W25)+0.5*H25-Tables!$B$25)+MIN(Tables!$B$26,0.5*H25))))</f>
        <v/>
      </c>
      <c r="Y25">
        <f>R25+SUMPRODUCT(((MAX(0,L25+W25+X25-(Tables!$B$22+IF(B25&gt;=Tables!$B$27,2*Tables!$B$23,0))))&gt;Tables!$A$31:$A$37)*((MAX(0,L25+W25+X25-(Tables!$B$22+IF(B25&gt;=Tables!$B$27,2*Tables!$B$23,0))))-Tables!$A$31:$A$37)*Tables!$C$31:$C$37)-O25</f>
        <v/>
      </c>
      <c r="Z25">
        <f>IF((L25+Y25)+0.5*H25&lt;=Tables!$B$24,0,IF((L25+Y25)+0.5*H25&lt;=Tables!$B$25,MIN(0.5*H25,0.5*((L25+Y25)+0.5*H25-Tables!$B$24)),MIN(0.85*H25,0.85*((L25+Y25)+0.5*H25-Tables!$B$25)+MIN(Tables!$B$26,0.5*H25))))</f>
        <v/>
      </c>
      <c r="AA25">
        <f>R25+SUMPRODUCT(((MAX(0,L25+Y25+Z25-(Tables!$B$22+IF(B25&gt;=Tables!$B$27,2*Tables!$B$23,0))))&gt;Tables!$A$31:$A$37)*((MAX(0,L25+Y25+Z25-(Tables!$B$22+IF(B25&gt;=Tables!$B$27,2*Tables!$B$23,0))))-Tables!$A$31:$A$37)*Tables!$C$31:$C$37)-O25</f>
        <v/>
      </c>
      <c r="AB25">
        <f>IF((L25+AA25)+0.5*H25&lt;=Tables!$B$24,0,IF((L25+AA25)+0.5*H25&lt;=Tables!$B$25,MIN(0.5*H25,0.5*((L25+AA25)+0.5*H25-Tables!$B$24)),MIN(0.85*H25,0.85*((L25+AA25)+0.5*H25-Tables!$B$25)+MIN(Tables!$B$26,0.5*H25))))</f>
        <v/>
      </c>
      <c r="AC25">
        <f>R25+SUMPRODUCT(((MAX(0,L25+AA25+AB25-(Tables!$B$22+IF(B25&gt;=Tables!$B$27,2*Tables!$B$23,0))))&gt;Tables!$A$31:$A$37)*((MAX(0,L25+AA25+AB25-(Tables!$B$22+IF(B25&gt;=Tables!$B$27,2*Tables!$B$23,0))))-Tables!$A$31:$A$37)*Tables!$C$31:$C$37)-O25</f>
        <v/>
      </c>
      <c r="AD25">
        <f>IF((L25+AC25)+0.5*H25&lt;=Tables!$B$24,0,IF((L25+AC25)+0.5*H25&lt;=Tables!$B$25,MIN(0.5*H25,0.5*((L25+AC25)+0.5*H25-Tables!$B$24)),MIN(0.85*H25,0.85*((L25+AC25)+0.5*H25-Tables!$B$25)+MIN(Tables!$B$26,0.5*H25))))</f>
        <v/>
      </c>
      <c r="AE25">
        <f>R25+SUMPRODUCT(((MAX(0,L25+AC25+AD25-(Tables!$B$22+IF(B25&gt;=Tables!$B$27,2*Tables!$B$23,0))))&gt;Tables!$A$31:$A$37)*((MAX(0,L25+AC25+AD25-(Tables!$B$22+IF(B25&gt;=Tables!$B$27,2*Tables!$B$23,0))))-Tables!$A$31:$A$37)*Tables!$C$31:$C$37)-O25</f>
        <v/>
      </c>
      <c r="AF25">
        <f>IF((L25+AE25)+0.5*H25&lt;=Tables!$B$24,0,IF((L25+AE25)+0.5*H25&lt;=Tables!$B$25,MIN(0.5*H25,0.5*((L25+AE25)+0.5*H25-Tables!$B$24)),MIN(0.85*H25,0.85*((L25+AE25)+0.5*H25-Tables!$B$25)+MIN(Tables!$B$26,0.5*H25))))</f>
        <v/>
      </c>
      <c r="AG25">
        <f>R25+SUMPRODUCT(((MAX(0,L25+AE25+AF25-(Tables!$B$22+IF(B25&gt;=Tables!$B$27,2*Tables!$B$23,0))))&gt;Tables!$A$31:$A$37)*((MAX(0,L25+AE25+AF25-(Tables!$B$22+IF(B25&gt;=Tables!$B$27,2*Tables!$B$23,0))))-Tables!$A$31:$A$37)*Tables!$C$31:$C$37)-O25</f>
        <v/>
      </c>
      <c r="AH25">
        <f>IF((L25+AG25)+0.5*H25&lt;=Tables!$B$24,0,IF((L25+AG25)+0.5*H25&lt;=Tables!$B$25,MIN(0.5*H25,0.5*((L25+AG25)+0.5*H25-Tables!$B$24)),MIN(0.85*H25,0.85*((L25+AG25)+0.5*H25-Tables!$B$25)+MIN(Tables!$B$26,0.5*H25))))</f>
        <v/>
      </c>
      <c r="AI25">
        <f>R25+SUMPRODUCT(((MAX(0,L25+AG25+AH25-(Tables!$B$22+IF(B25&gt;=Tables!$B$27,2*Tables!$B$23,0))))&gt;Tables!$A$31:$A$37)*((MAX(0,L25+AG25+AH25-(Tables!$B$22+IF(B25&gt;=Tables!$B$27,2*Tables!$B$23,0))))-Tables!$A$31:$A$37)*Tables!$C$31:$C$37)-O25</f>
        <v/>
      </c>
      <c r="AJ25">
        <f>IF((L25+AI25)+0.5*H25&lt;=Tables!$B$24,0,IF((L25+AI25)+0.5*H25&lt;=Tables!$B$25,MIN(0.5*H25,0.5*((L25+AI25)+0.5*H25-Tables!$B$24)),MIN(0.85*H25,0.85*((L25+AI25)+0.5*H25-Tables!$B$25)+MIN(Tables!$B$26,0.5*H25))))</f>
        <v/>
      </c>
      <c r="AK25">
        <f>R25+SUMPRODUCT(((MAX(0,L25+AI25+AJ25-(Tables!$B$22+IF(B25&gt;=Tables!$B$27,2*Tables!$B$23,0))))&gt;Tables!$A$31:$A$37)*((MAX(0,L25+AI25+AJ25-(Tables!$B$22+IF(B25&gt;=Tables!$B$27,2*Tables!$B$23,0))))-Tables!$A$31:$A$37)*Tables!$C$31:$C$37)-O25</f>
        <v/>
      </c>
      <c r="AL25">
        <f>IF((L25+AK25)+0.5*H25&lt;=Tables!$B$24,0,IF((L25+AK25)+0.5*H25&lt;=Tables!$B$25,MIN(0.5*H25,0.5*((L25+AK25)+0.5*H25-Tables!$B$24)),MIN(0.85*H25,0.85*((L25+AK25)+0.5*H25-Tables!$B$25)+MIN(Tables!$B$26,0.5*H25))))</f>
        <v/>
      </c>
      <c r="AM25">
        <f>R25+SUMPRODUCT(((MAX(0,L25+AK25+AL25-(Tables!$B$22+IF(B25&gt;=Tables!$B$27,2*Tables!$B$23,0))))&gt;Tables!$A$31:$A$37)*((MAX(0,L25+AK25+AL25-(Tables!$B$22+IF(B25&gt;=Tables!$B$27,2*Tables!$B$23,0))))-Tables!$A$31:$A$37)*Tables!$C$31:$C$37)-O25</f>
        <v/>
      </c>
      <c r="AN25">
        <f>IF((L25+AM25)+0.5*H25&lt;=Tables!$B$24,0,IF((L25+AM25)+0.5*H25&lt;=Tables!$B$25,MIN(0.5*H25,0.5*((L25+AM25)+0.5*H25-Tables!$B$24)),MIN(0.85*H25,0.85*((L25+AM25)+0.5*H25-Tables!$B$25)+MIN(Tables!$B$26,0.5*H25))))</f>
        <v/>
      </c>
      <c r="AO25">
        <f>R25+SUMPRODUCT(((MAX(0,L25+AM25+AN25-(Tables!$B$22+IF(B25&gt;=Tables!$B$27,2*Tables!$B$23,0))))&gt;Tables!$A$31:$A$37)*((MAX(0,L25+AM25+AN25-(Tables!$B$22+IF(B25&gt;=Tables!$B$27,2*Tables!$B$23,0))))-Tables!$A$31:$A$37)*Tables!$C$31:$C$37)-O25</f>
        <v/>
      </c>
      <c r="AP25">
        <f>IF((L25+AO25)+0.5*H25&lt;=Tables!$B$24,0,IF((L25+AO25)+0.5*H25&lt;=Tables!$B$25,MIN(0.5*H25,0.5*((L25+AO25)+0.5*H25-Tables!$B$24)),MIN(0.85*H25,0.85*((L25+AO25)+0.5*H25-Tables!$B$25)+MIN(Tables!$B$26,0.5*H25))))</f>
        <v/>
      </c>
      <c r="AQ25">
        <f>R25+SUMPRODUCT(((MAX(0,L25+AO25+AP25-(Tables!$B$22+IF(B25&gt;=Tables!$B$27,2*Tables!$B$23,0))))&gt;Tables!$A$31:$A$37)*((MAX(0,L25+AO25+AP25-(Tables!$B$22+IF(B25&gt;=Tables!$B$27,2*Tables!$B$23,0))))-Tables!$A$31:$A$37)*Tables!$C$31:$C$37)-O25</f>
        <v/>
      </c>
      <c r="AR25">
        <f>IF((L25+AQ25)+0.5*H25&lt;=Tables!$B$24,0,IF((L25+AQ25)+0.5*H25&lt;=Tables!$B$25,MIN(0.5*H25,0.5*((L25+AQ25)+0.5*H25-Tables!$B$24)),MIN(0.85*H25,0.85*((L25+AQ25)+0.5*H25-Tables!$B$25)+MIN(Tables!$B$26,0.5*H25))))</f>
        <v/>
      </c>
      <c r="AS25">
        <f>R25+SUMPRODUCT(((MAX(0,L25+AQ25+AR25-(Tables!$B$22+IF(B25&gt;=Tables!$B$27,2*Tables!$B$23,0))))&gt;Tables!$A$31:$A$37)*((MAX(0,L25+AQ25+AR25-(Tables!$B$22+IF(B25&gt;=Tables!$B$27,2*Tables!$B$23,0))))-Tables!$A$31:$A$37)*Tables!$C$31:$C$37)-O25</f>
        <v/>
      </c>
      <c r="AT25">
        <f>IF((L25+AS25)+0.5*H25&lt;=Tables!$B$24,0,IF((L25+AS25)+0.5*H25&lt;=Tables!$B$25,MIN(0.5*H25,0.5*((L25+AS25)+0.5*H25-Tables!$B$24)),MIN(0.85*H25,0.85*((L25+AS25)+0.5*H25-Tables!$B$25)+MIN(Tables!$B$26,0.5*H25))))</f>
        <v/>
      </c>
      <c r="AU25">
        <f>R25+SUMPRODUCT(((MAX(0,L25+AS25+AT25-(Tables!$B$22+IF(B25&gt;=Tables!$B$27,2*Tables!$B$23,0))))&gt;Tables!$A$31:$A$37)*((MAX(0,L25+AS25+AT25-(Tables!$B$22+IF(B25&gt;=Tables!$B$27,2*Tables!$B$23,0))))-Tables!$A$31:$A$37)*Tables!$C$31:$C$37)-O25</f>
        <v/>
      </c>
      <c r="AV25">
        <f>IF((L25+AU25)+0.5*H25&lt;=Tables!$B$24,0,IF((L25+AU25)+0.5*H25&lt;=Tables!$B$25,MIN(0.5*H25,0.5*((L25+AU25)+0.5*H25-Tables!$B$24)),MIN(0.85*H25,0.85*((L25+AU25)+0.5*H25-Tables!$B$25)+MIN(Tables!$B$26,0.5*H25))))</f>
        <v/>
      </c>
      <c r="AW25">
        <f>R25+SUMPRODUCT(((MAX(0,L25+AU25+AV25-(Tables!$B$22+IF(B25&gt;=Tables!$B$27,2*Tables!$B$23,0))))&gt;Tables!$A$31:$A$37)*((MAX(0,L25+AU25+AV25-(Tables!$B$22+IF(B25&gt;=Tables!$B$27,2*Tables!$B$23,0))))-Tables!$A$31:$A$37)*Tables!$C$31:$C$37)-O25</f>
        <v/>
      </c>
      <c r="AX25">
        <f>IF((L25+AW25)+0.5*H25&lt;=Tables!$B$24,0,IF((L25+AW25)+0.5*H25&lt;=Tables!$B$25,MIN(0.5*H25,0.5*((L25+AW25)+0.5*H25-Tables!$B$24)),MIN(0.85*H25,0.85*((L25+AW25)+0.5*H25-Tables!$B$25)+MIN(Tables!$B$26,0.5*H25))))</f>
        <v/>
      </c>
      <c r="AY25">
        <f>R25+SUMPRODUCT(((MAX(0,L25+AW25+AX25-(Tables!$B$22+IF(B25&gt;=Tables!$B$27,2*Tables!$B$23,0))))&gt;Tables!$A$31:$A$37)*((MAX(0,L25+AW25+AX25-(Tables!$B$22+IF(B25&gt;=Tables!$B$27,2*Tables!$B$23,0))))-Tables!$A$31:$A$37)*Tables!$C$31:$C$37)-O25</f>
        <v/>
      </c>
      <c r="AZ25">
        <f>IF((L25+AY25)+0.5*H25&lt;=Tables!$B$24,0,IF((L25+AY25)+0.5*H25&lt;=Tables!$B$25,MIN(0.5*H25,0.5*((L25+AY25)+0.5*H25-Tables!$B$24)),MIN(0.85*H25,0.85*((L25+AY25)+0.5*H25-Tables!$B$25)+MIN(Tables!$B$26,0.5*H25))))</f>
        <v/>
      </c>
      <c r="BA25">
        <f>R25+SUMPRODUCT(((MAX(0,L25+AY25+AZ25-(Tables!$B$22+IF(B25&gt;=Tables!$B$27,2*Tables!$B$23,0))))&gt;Tables!$A$31:$A$37)*((MAX(0,L25+AY25+AZ25-(Tables!$B$22+IF(B25&gt;=Tables!$B$27,2*Tables!$B$23,0))))-Tables!$A$31:$A$37)*Tables!$C$31:$C$37)-O25</f>
        <v/>
      </c>
      <c r="BB25">
        <f>IF((L25+BA25)+0.5*H25&lt;=Tables!$B$24,0,IF((L25+BA25)+0.5*H25&lt;=Tables!$B$25,MIN(0.5*H25,0.5*((L25+BA25)+0.5*H25-Tables!$B$24)),MIN(0.85*H25,0.85*((L25+BA25)+0.5*H25-Tables!$B$25)+MIN(Tables!$B$26,0.5*H25))))</f>
        <v/>
      </c>
      <c r="BC25">
        <f>R25+SUMPRODUCT(((MAX(0,L25+BA25+BB25-(Tables!$B$22+IF(B25&gt;=Tables!$B$27,2*Tables!$B$23,0))))&gt;Tables!$A$31:$A$37)*((MAX(0,L25+BA25+BB25-(Tables!$B$22+IF(B25&gt;=Tables!$B$27,2*Tables!$B$23,0))))-Tables!$A$31:$A$37)*Tables!$C$31:$C$37)-O25</f>
        <v/>
      </c>
      <c r="BD25">
        <f>IF((L25+BC25)+0.5*H25&lt;=Tables!$B$24,0,IF((L25+BC25)+0.5*H25&lt;=Tables!$B$25,MIN(0.5*H25,0.5*((L25+BC25)+0.5*H25-Tables!$B$24)),MIN(0.85*H25,0.85*((L25+BC25)+0.5*H25-Tables!$B$25)+MIN(Tables!$B$26,0.5*H25))))</f>
        <v/>
      </c>
      <c r="BE25">
        <f>R25+SUMPRODUCT(((MAX(0,L25+BC25+BD25-(Tables!$B$22+IF(B25&gt;=Tables!$B$27,2*Tables!$B$23,0))))&gt;Tables!$A$31:$A$37)*((MAX(0,L25+BC25+BD25-(Tables!$B$22+IF(B25&gt;=Tables!$B$27,2*Tables!$B$23,0))))-Tables!$A$31:$A$37)*Tables!$C$31:$C$37)-O25</f>
        <v/>
      </c>
      <c r="BF25">
        <f>IF((L25+BE25)+0.5*H25&lt;=Tables!$B$24,0,IF((L25+BE25)+0.5*H25&lt;=Tables!$B$25,MIN(0.5*H25,0.5*((L25+BE25)+0.5*H25-Tables!$B$24)),MIN(0.85*H25,0.85*((L25+BE25)+0.5*H25-Tables!$B$25)+MIN(Tables!$B$26,0.5*H25))))</f>
        <v/>
      </c>
      <c r="BG25">
        <f>R25+SUMPRODUCT(((MAX(0,L25+BE25+BF25-(Tables!$B$22+IF(B25&gt;=Tables!$B$27,2*Tables!$B$23,0))))&gt;Tables!$A$31:$A$37)*((MAX(0,L25+BE25+BF25-(Tables!$B$22+IF(B25&gt;=Tables!$B$27,2*Tables!$B$23,0))))-Tables!$A$31:$A$37)*Tables!$C$31:$C$37)-O25</f>
        <v/>
      </c>
      <c r="BH25">
        <f>IF((L25+BG25)+0.5*H25&lt;=Tables!$B$24,0,IF((L25+BG25)+0.5*H25&lt;=Tables!$B$25,MIN(0.5*H25,0.5*((L25+BG25)+0.5*H25-Tables!$B$24)),MIN(0.85*H25,0.85*((L25+BG25)+0.5*H25-Tables!$B$25)+MIN(Tables!$B$26,0.5*H25))))</f>
        <v/>
      </c>
      <c r="BI25">
        <f>R25+SUMPRODUCT(((MAX(0,L25+BG25+BH25-(Tables!$B$22+IF(B25&gt;=Tables!$B$27,2*Tables!$B$23,0))))&gt;Tables!$A$31:$A$37)*((MAX(0,L25+BG25+BH25-(Tables!$B$22+IF(B25&gt;=Tables!$B$27,2*Tables!$B$23,0))))-Tables!$A$31:$A$37)*Tables!$C$31:$C$37)-O25</f>
        <v/>
      </c>
      <c r="BJ25">
        <f>IF((L25+BI25)+0.5*H25&lt;=Tables!$B$24,0,IF((L25+BI25)+0.5*H25&lt;=Tables!$B$25,MIN(0.5*H25,0.5*((L25+BI25)+0.5*H25-Tables!$B$24)),MIN(0.85*H25,0.85*((L25+BI25)+0.5*H25-Tables!$B$25)+MIN(Tables!$B$26,0.5*H25))))</f>
        <v/>
      </c>
      <c r="BK25">
        <f>R25+SUMPRODUCT(((MAX(0,L25+BI25+BJ25-(Tables!$B$22+IF(B25&gt;=Tables!$B$27,2*Tables!$B$23,0))))&gt;Tables!$A$31:$A$37)*((MAX(0,L25+BI25+BJ25-(Tables!$B$22+IF(B25&gt;=Tables!$B$27,2*Tables!$B$23,0))))-Tables!$A$31:$A$37)*Tables!$C$31:$C$37)-O25</f>
        <v/>
      </c>
      <c r="BL25">
        <f>IF((L25+BK25)+0.5*H25&lt;=Tables!$B$24,0,IF((L25+BK25)+0.5*H25&lt;=Tables!$B$25,MIN(0.5*H25,0.5*((L25+BK25)+0.5*H25-Tables!$B$24)),MIN(0.85*H25,0.85*((L25+BK25)+0.5*H25-Tables!$B$25)+MIN(Tables!$B$26,0.5*H25))))</f>
        <v/>
      </c>
      <c r="BM25">
        <f>R25+SUMPRODUCT(((MAX(0,L25+BK25+BL25-(Tables!$B$22+IF(B25&gt;=Tables!$B$27,2*Tables!$B$23,0))))&gt;Tables!$A$31:$A$37)*((MAX(0,L25+BK25+BL25-(Tables!$B$22+IF(B25&gt;=Tables!$B$27,2*Tables!$B$23,0))))-Tables!$A$31:$A$37)*Tables!$C$31:$C$37)-O25</f>
        <v/>
      </c>
      <c r="BN25">
        <f>IF((L25+BM25)+0.5*H25&lt;=Tables!$B$24,0,IF((L25+BM25)+0.5*H25&lt;=Tables!$B$25,MIN(0.5*H25,0.5*((L25+BM25)+0.5*H25-Tables!$B$24)),MIN(0.85*H25,0.85*((L25+BM25)+0.5*H25-Tables!$B$25)+MIN(Tables!$B$26,0.5*H25))))</f>
        <v/>
      </c>
      <c r="BO25">
        <f>R25+SUMPRODUCT(((MAX(0,L25+BM25+BN25-(Tables!$B$22+IF(B25&gt;=Tables!$B$27,2*Tables!$B$23,0))))&gt;Tables!$A$31:$A$37)*((MAX(0,L25+BM25+BN25-(Tables!$B$22+IF(B25&gt;=Tables!$B$27,2*Tables!$B$23,0))))-Tables!$A$31:$A$37)*Tables!$C$31:$C$37)-O25</f>
        <v/>
      </c>
      <c r="BP25">
        <f>MIN(BO25,S25)</f>
        <v/>
      </c>
      <c r="BQ25">
        <f>L25+BP25</f>
        <v/>
      </c>
      <c r="BR25">
        <f>IF(BQ25+0.5*H25&lt;=Tables!$B$24,0,IF(BQ25+0.5*H25&lt;=Tables!$B$25,MIN(0.5*H25,0.5*(BQ25+0.5*H25-Tables!$B$24)),MIN(0.85*H25,0.85*(BQ25+0.5*H25-Tables!$B$25)+MIN(Tables!$B$26,0.5*H25))))</f>
        <v/>
      </c>
      <c r="BS25">
        <f>MAX(0,BQ25+BR25-(Tables!$B$22+IF(B25&gt;=Tables!$B$27,2*Tables!$B$23,0)))</f>
        <v/>
      </c>
      <c r="BT25">
        <f>SUMPRODUCT(((BS25)&gt;Tables!$A$31:$A$37)*((BS25)-Tables!$A$31:$A$37)*Tables!$C$31:$C$37)</f>
        <v/>
      </c>
      <c r="BU25">
        <f>MAX(0,G25-(H25+BQ25+Q25-BT25))</f>
        <v/>
      </c>
      <c r="BV25">
        <f>MIN(J25,BU25)</f>
        <v/>
      </c>
      <c r="BW25">
        <f>H25+BQ25+Q25+BV25</f>
        <v/>
      </c>
      <c r="BX25">
        <f>MAX(0,BW25-G25-BT25)</f>
        <v/>
      </c>
      <c r="BY25">
        <f>MAX(0,G25+BT25-BW25)</f>
        <v/>
      </c>
      <c r="BZ25">
        <f>IF(C25=0,0,MAX(0,I25-BQ25)*(1+D25))</f>
        <v/>
      </c>
      <c r="CA25">
        <f>IF(C25=0,0,MAX(0,J25-BV25)*(1+D25))</f>
        <v/>
      </c>
      <c r="CB25">
        <f>IF(C25=0,0,MAX(0,K25-Q25+BX25)*(1+D25))</f>
        <v/>
      </c>
      <c r="CC25">
        <f>IF(C25=0,CC24,BZ25+CA25+CB25)</f>
        <v/>
      </c>
      <c r="CD25">
        <f>IF(C25=0,9999,IF(OR(BY25&gt;0.0001,CC25&lt;=0.0001),B25,9999))</f>
        <v/>
      </c>
    </row>
    <row r="26">
      <c r="A26" t="n">
        <v>24</v>
      </c>
      <c r="B26">
        <f>Tables!$B$13+A26</f>
        <v/>
      </c>
      <c r="C26">
        <f>IF(B26&lt;=Tables!$B$18,1,0)</f>
        <v/>
      </c>
      <c r="D26">
        <f>INDEX(Tables!$B$83:$B$123,A26+1)</f>
        <v/>
      </c>
      <c r="E26">
        <f>IF(A26=0,0,INDEX(Tables!$B$83:$B$123,A26))</f>
        <v/>
      </c>
      <c r="F26">
        <f>IF(AND(C26=1,Tables!$B$17="YES",A26&gt;0,E26&lt;Tables!$B$16),Tables!$B$15,0)</f>
        <v/>
      </c>
      <c r="G26">
        <f>IF(C26=0,0,Tables!$B$8-IF(B26&gt;=Tables!$B$7,Tables!$B$6,0)+IF(B26&lt;Tables!$B$27,Tables!$B$9,Tables!$B$10)-F26)</f>
        <v/>
      </c>
      <c r="H26">
        <f>IF(C26=0,0,IF(B26&gt;=Tables!$B$78,Tables!$D$78,0)+IF(B26&gt;=Tables!$C$78,Tables!$E$78,0))</f>
        <v/>
      </c>
      <c r="I26">
        <f>IF(C26=0,0,BZ25)</f>
        <v/>
      </c>
      <c r="J26">
        <f>IF(C26=0,0,CA25)</f>
        <v/>
      </c>
      <c r="K26">
        <f>IF(C26=0,0,CB25)</f>
        <v/>
      </c>
      <c r="L26">
        <f>IF(C26=0,0,IF(B26&gt;=Tables!$B$19,MIN(I26,I26/VLOOKUP(B26,Tables!$A$41:$B$61,2,FALSE)),0))</f>
        <v/>
      </c>
      <c r="M26">
        <f>IF(L26+0.5*H26&lt;=Tables!$B$24,0,IF(L26+0.5*H26&lt;=Tables!$B$25,MIN(0.5*H26,0.5*(L26+0.5*H26-Tables!$B$24)),MIN(0.85*H26,0.85*(L26+0.5*H26-Tables!$B$25)+MIN(Tables!$B$26,0.5*H26))))</f>
        <v/>
      </c>
      <c r="N26">
        <f>MAX(0,L26+M26-(Tables!$B$22+IF(B26&gt;=Tables!$B$27,2*Tables!$B$23,0)))</f>
        <v/>
      </c>
      <c r="O26">
        <f>SUMPRODUCT(((N26)&gt;Tables!$A$31:$A$37)*((N26)-Tables!$A$31:$A$37)*Tables!$C$31:$C$37)</f>
        <v/>
      </c>
      <c r="P26">
        <f>G26-(H26+L26-O26)</f>
        <v/>
      </c>
      <c r="Q26">
        <f>MIN(K26,MAX(0,P26))</f>
        <v/>
      </c>
      <c r="R26">
        <f>MAX(0,P26-Q26)</f>
        <v/>
      </c>
      <c r="S26">
        <f>MAX(0,I26-L26)</f>
        <v/>
      </c>
      <c r="T26">
        <f>IF((L26+R26)+0.5*H26&lt;=Tables!$B$24,0,IF((L26+R26)+0.5*H26&lt;=Tables!$B$25,MIN(0.5*H26,0.5*((L26+R26)+0.5*H26-Tables!$B$24)),MIN(0.85*H26,0.85*((L26+R26)+0.5*H26-Tables!$B$25)+MIN(Tables!$B$26,0.5*H26))))</f>
        <v/>
      </c>
      <c r="U26">
        <f>R26+SUMPRODUCT(((MAX(0,L26+R26+T26-(Tables!$B$22+IF(B26&gt;=Tables!$B$27,2*Tables!$B$23,0))))&gt;Tables!$A$31:$A$37)*((MAX(0,L26+R26+T26-(Tables!$B$22+IF(B26&gt;=Tables!$B$27,2*Tables!$B$23,0))))-Tables!$A$31:$A$37)*Tables!$C$31:$C$37)-O26</f>
        <v/>
      </c>
      <c r="V26">
        <f>IF((L26+U26)+0.5*H26&lt;=Tables!$B$24,0,IF((L26+U26)+0.5*H26&lt;=Tables!$B$25,MIN(0.5*H26,0.5*((L26+U26)+0.5*H26-Tables!$B$24)),MIN(0.85*H26,0.85*((L26+U26)+0.5*H26-Tables!$B$25)+MIN(Tables!$B$26,0.5*H26))))</f>
        <v/>
      </c>
      <c r="W26">
        <f>R26+SUMPRODUCT(((MAX(0,L26+U26+V26-(Tables!$B$22+IF(B26&gt;=Tables!$B$27,2*Tables!$B$23,0))))&gt;Tables!$A$31:$A$37)*((MAX(0,L26+U26+V26-(Tables!$B$22+IF(B26&gt;=Tables!$B$27,2*Tables!$B$23,0))))-Tables!$A$31:$A$37)*Tables!$C$31:$C$37)-O26</f>
        <v/>
      </c>
      <c r="X26">
        <f>IF((L26+W26)+0.5*H26&lt;=Tables!$B$24,0,IF((L26+W26)+0.5*H26&lt;=Tables!$B$25,MIN(0.5*H26,0.5*((L26+W26)+0.5*H26-Tables!$B$24)),MIN(0.85*H26,0.85*((L26+W26)+0.5*H26-Tables!$B$25)+MIN(Tables!$B$26,0.5*H26))))</f>
        <v/>
      </c>
      <c r="Y26">
        <f>R26+SUMPRODUCT(((MAX(0,L26+W26+X26-(Tables!$B$22+IF(B26&gt;=Tables!$B$27,2*Tables!$B$23,0))))&gt;Tables!$A$31:$A$37)*((MAX(0,L26+W26+X26-(Tables!$B$22+IF(B26&gt;=Tables!$B$27,2*Tables!$B$23,0))))-Tables!$A$31:$A$37)*Tables!$C$31:$C$37)-O26</f>
        <v/>
      </c>
      <c r="Z26">
        <f>IF((L26+Y26)+0.5*H26&lt;=Tables!$B$24,0,IF((L26+Y26)+0.5*H26&lt;=Tables!$B$25,MIN(0.5*H26,0.5*((L26+Y26)+0.5*H26-Tables!$B$24)),MIN(0.85*H26,0.85*((L26+Y26)+0.5*H26-Tables!$B$25)+MIN(Tables!$B$26,0.5*H26))))</f>
        <v/>
      </c>
      <c r="AA26">
        <f>R26+SUMPRODUCT(((MAX(0,L26+Y26+Z26-(Tables!$B$22+IF(B26&gt;=Tables!$B$27,2*Tables!$B$23,0))))&gt;Tables!$A$31:$A$37)*((MAX(0,L26+Y26+Z26-(Tables!$B$22+IF(B26&gt;=Tables!$B$27,2*Tables!$B$23,0))))-Tables!$A$31:$A$37)*Tables!$C$31:$C$37)-O26</f>
        <v/>
      </c>
      <c r="AB26">
        <f>IF((L26+AA26)+0.5*H26&lt;=Tables!$B$24,0,IF((L26+AA26)+0.5*H26&lt;=Tables!$B$25,MIN(0.5*H26,0.5*((L26+AA26)+0.5*H26-Tables!$B$24)),MIN(0.85*H26,0.85*((L26+AA26)+0.5*H26-Tables!$B$25)+MIN(Tables!$B$26,0.5*H26))))</f>
        <v/>
      </c>
      <c r="AC26">
        <f>R26+SUMPRODUCT(((MAX(0,L26+AA26+AB26-(Tables!$B$22+IF(B26&gt;=Tables!$B$27,2*Tables!$B$23,0))))&gt;Tables!$A$31:$A$37)*((MAX(0,L26+AA26+AB26-(Tables!$B$22+IF(B26&gt;=Tables!$B$27,2*Tables!$B$23,0))))-Tables!$A$31:$A$37)*Tables!$C$31:$C$37)-O26</f>
        <v/>
      </c>
      <c r="AD26">
        <f>IF((L26+AC26)+0.5*H26&lt;=Tables!$B$24,0,IF((L26+AC26)+0.5*H26&lt;=Tables!$B$25,MIN(0.5*H26,0.5*((L26+AC26)+0.5*H26-Tables!$B$24)),MIN(0.85*H26,0.85*((L26+AC26)+0.5*H26-Tables!$B$25)+MIN(Tables!$B$26,0.5*H26))))</f>
        <v/>
      </c>
      <c r="AE26">
        <f>R26+SUMPRODUCT(((MAX(0,L26+AC26+AD26-(Tables!$B$22+IF(B26&gt;=Tables!$B$27,2*Tables!$B$23,0))))&gt;Tables!$A$31:$A$37)*((MAX(0,L26+AC26+AD26-(Tables!$B$22+IF(B26&gt;=Tables!$B$27,2*Tables!$B$23,0))))-Tables!$A$31:$A$37)*Tables!$C$31:$C$37)-O26</f>
        <v/>
      </c>
      <c r="AF26">
        <f>IF((L26+AE26)+0.5*H26&lt;=Tables!$B$24,0,IF((L26+AE26)+0.5*H26&lt;=Tables!$B$25,MIN(0.5*H26,0.5*((L26+AE26)+0.5*H26-Tables!$B$24)),MIN(0.85*H26,0.85*((L26+AE26)+0.5*H26-Tables!$B$25)+MIN(Tables!$B$26,0.5*H26))))</f>
        <v/>
      </c>
      <c r="AG26">
        <f>R26+SUMPRODUCT(((MAX(0,L26+AE26+AF26-(Tables!$B$22+IF(B26&gt;=Tables!$B$27,2*Tables!$B$23,0))))&gt;Tables!$A$31:$A$37)*((MAX(0,L26+AE26+AF26-(Tables!$B$22+IF(B26&gt;=Tables!$B$27,2*Tables!$B$23,0))))-Tables!$A$31:$A$37)*Tables!$C$31:$C$37)-O26</f>
        <v/>
      </c>
      <c r="AH26">
        <f>IF((L26+AG26)+0.5*H26&lt;=Tables!$B$24,0,IF((L26+AG26)+0.5*H26&lt;=Tables!$B$25,MIN(0.5*H26,0.5*((L26+AG26)+0.5*H26-Tables!$B$24)),MIN(0.85*H26,0.85*((L26+AG26)+0.5*H26-Tables!$B$25)+MIN(Tables!$B$26,0.5*H26))))</f>
        <v/>
      </c>
      <c r="AI26">
        <f>R26+SUMPRODUCT(((MAX(0,L26+AG26+AH26-(Tables!$B$22+IF(B26&gt;=Tables!$B$27,2*Tables!$B$23,0))))&gt;Tables!$A$31:$A$37)*((MAX(0,L26+AG26+AH26-(Tables!$B$22+IF(B26&gt;=Tables!$B$27,2*Tables!$B$23,0))))-Tables!$A$31:$A$37)*Tables!$C$31:$C$37)-O26</f>
        <v/>
      </c>
      <c r="AJ26">
        <f>IF((L26+AI26)+0.5*H26&lt;=Tables!$B$24,0,IF((L26+AI26)+0.5*H26&lt;=Tables!$B$25,MIN(0.5*H26,0.5*((L26+AI26)+0.5*H26-Tables!$B$24)),MIN(0.85*H26,0.85*((L26+AI26)+0.5*H26-Tables!$B$25)+MIN(Tables!$B$26,0.5*H26))))</f>
        <v/>
      </c>
      <c r="AK26">
        <f>R26+SUMPRODUCT(((MAX(0,L26+AI26+AJ26-(Tables!$B$22+IF(B26&gt;=Tables!$B$27,2*Tables!$B$23,0))))&gt;Tables!$A$31:$A$37)*((MAX(0,L26+AI26+AJ26-(Tables!$B$22+IF(B26&gt;=Tables!$B$27,2*Tables!$B$23,0))))-Tables!$A$31:$A$37)*Tables!$C$31:$C$37)-O26</f>
        <v/>
      </c>
      <c r="AL26">
        <f>IF((L26+AK26)+0.5*H26&lt;=Tables!$B$24,0,IF((L26+AK26)+0.5*H26&lt;=Tables!$B$25,MIN(0.5*H26,0.5*((L26+AK26)+0.5*H26-Tables!$B$24)),MIN(0.85*H26,0.85*((L26+AK26)+0.5*H26-Tables!$B$25)+MIN(Tables!$B$26,0.5*H26))))</f>
        <v/>
      </c>
      <c r="AM26">
        <f>R26+SUMPRODUCT(((MAX(0,L26+AK26+AL26-(Tables!$B$22+IF(B26&gt;=Tables!$B$27,2*Tables!$B$23,0))))&gt;Tables!$A$31:$A$37)*((MAX(0,L26+AK26+AL26-(Tables!$B$22+IF(B26&gt;=Tables!$B$27,2*Tables!$B$23,0))))-Tables!$A$31:$A$37)*Tables!$C$31:$C$37)-O26</f>
        <v/>
      </c>
      <c r="AN26">
        <f>IF((L26+AM26)+0.5*H26&lt;=Tables!$B$24,0,IF((L26+AM26)+0.5*H26&lt;=Tables!$B$25,MIN(0.5*H26,0.5*((L26+AM26)+0.5*H26-Tables!$B$24)),MIN(0.85*H26,0.85*((L26+AM26)+0.5*H26-Tables!$B$25)+MIN(Tables!$B$26,0.5*H26))))</f>
        <v/>
      </c>
      <c r="AO26">
        <f>R26+SUMPRODUCT(((MAX(0,L26+AM26+AN26-(Tables!$B$22+IF(B26&gt;=Tables!$B$27,2*Tables!$B$23,0))))&gt;Tables!$A$31:$A$37)*((MAX(0,L26+AM26+AN26-(Tables!$B$22+IF(B26&gt;=Tables!$B$27,2*Tables!$B$23,0))))-Tables!$A$31:$A$37)*Tables!$C$31:$C$37)-O26</f>
        <v/>
      </c>
      <c r="AP26">
        <f>IF((L26+AO26)+0.5*H26&lt;=Tables!$B$24,0,IF((L26+AO26)+0.5*H26&lt;=Tables!$B$25,MIN(0.5*H26,0.5*((L26+AO26)+0.5*H26-Tables!$B$24)),MIN(0.85*H26,0.85*((L26+AO26)+0.5*H26-Tables!$B$25)+MIN(Tables!$B$26,0.5*H26))))</f>
        <v/>
      </c>
      <c r="AQ26">
        <f>R26+SUMPRODUCT(((MAX(0,L26+AO26+AP26-(Tables!$B$22+IF(B26&gt;=Tables!$B$27,2*Tables!$B$23,0))))&gt;Tables!$A$31:$A$37)*((MAX(0,L26+AO26+AP26-(Tables!$B$22+IF(B26&gt;=Tables!$B$27,2*Tables!$B$23,0))))-Tables!$A$31:$A$37)*Tables!$C$31:$C$37)-O26</f>
        <v/>
      </c>
      <c r="AR26">
        <f>IF((L26+AQ26)+0.5*H26&lt;=Tables!$B$24,0,IF((L26+AQ26)+0.5*H26&lt;=Tables!$B$25,MIN(0.5*H26,0.5*((L26+AQ26)+0.5*H26-Tables!$B$24)),MIN(0.85*H26,0.85*((L26+AQ26)+0.5*H26-Tables!$B$25)+MIN(Tables!$B$26,0.5*H26))))</f>
        <v/>
      </c>
      <c r="AS26">
        <f>R26+SUMPRODUCT(((MAX(0,L26+AQ26+AR26-(Tables!$B$22+IF(B26&gt;=Tables!$B$27,2*Tables!$B$23,0))))&gt;Tables!$A$31:$A$37)*((MAX(0,L26+AQ26+AR26-(Tables!$B$22+IF(B26&gt;=Tables!$B$27,2*Tables!$B$23,0))))-Tables!$A$31:$A$37)*Tables!$C$31:$C$37)-O26</f>
        <v/>
      </c>
      <c r="AT26">
        <f>IF((L26+AS26)+0.5*H26&lt;=Tables!$B$24,0,IF((L26+AS26)+0.5*H26&lt;=Tables!$B$25,MIN(0.5*H26,0.5*((L26+AS26)+0.5*H26-Tables!$B$24)),MIN(0.85*H26,0.85*((L26+AS26)+0.5*H26-Tables!$B$25)+MIN(Tables!$B$26,0.5*H26))))</f>
        <v/>
      </c>
      <c r="AU26">
        <f>R26+SUMPRODUCT(((MAX(0,L26+AS26+AT26-(Tables!$B$22+IF(B26&gt;=Tables!$B$27,2*Tables!$B$23,0))))&gt;Tables!$A$31:$A$37)*((MAX(0,L26+AS26+AT26-(Tables!$B$22+IF(B26&gt;=Tables!$B$27,2*Tables!$B$23,0))))-Tables!$A$31:$A$37)*Tables!$C$31:$C$37)-O26</f>
        <v/>
      </c>
      <c r="AV26">
        <f>IF((L26+AU26)+0.5*H26&lt;=Tables!$B$24,0,IF((L26+AU26)+0.5*H26&lt;=Tables!$B$25,MIN(0.5*H26,0.5*((L26+AU26)+0.5*H26-Tables!$B$24)),MIN(0.85*H26,0.85*((L26+AU26)+0.5*H26-Tables!$B$25)+MIN(Tables!$B$26,0.5*H26))))</f>
        <v/>
      </c>
      <c r="AW26">
        <f>R26+SUMPRODUCT(((MAX(0,L26+AU26+AV26-(Tables!$B$22+IF(B26&gt;=Tables!$B$27,2*Tables!$B$23,0))))&gt;Tables!$A$31:$A$37)*((MAX(0,L26+AU26+AV26-(Tables!$B$22+IF(B26&gt;=Tables!$B$27,2*Tables!$B$23,0))))-Tables!$A$31:$A$37)*Tables!$C$31:$C$37)-O26</f>
        <v/>
      </c>
      <c r="AX26">
        <f>IF((L26+AW26)+0.5*H26&lt;=Tables!$B$24,0,IF((L26+AW26)+0.5*H26&lt;=Tables!$B$25,MIN(0.5*H26,0.5*((L26+AW26)+0.5*H26-Tables!$B$24)),MIN(0.85*H26,0.85*((L26+AW26)+0.5*H26-Tables!$B$25)+MIN(Tables!$B$26,0.5*H26))))</f>
        <v/>
      </c>
      <c r="AY26">
        <f>R26+SUMPRODUCT(((MAX(0,L26+AW26+AX26-(Tables!$B$22+IF(B26&gt;=Tables!$B$27,2*Tables!$B$23,0))))&gt;Tables!$A$31:$A$37)*((MAX(0,L26+AW26+AX26-(Tables!$B$22+IF(B26&gt;=Tables!$B$27,2*Tables!$B$23,0))))-Tables!$A$31:$A$37)*Tables!$C$31:$C$37)-O26</f>
        <v/>
      </c>
      <c r="AZ26">
        <f>IF((L26+AY26)+0.5*H26&lt;=Tables!$B$24,0,IF((L26+AY26)+0.5*H26&lt;=Tables!$B$25,MIN(0.5*H26,0.5*((L26+AY26)+0.5*H26-Tables!$B$24)),MIN(0.85*H26,0.85*((L26+AY26)+0.5*H26-Tables!$B$25)+MIN(Tables!$B$26,0.5*H26))))</f>
        <v/>
      </c>
      <c r="BA26">
        <f>R26+SUMPRODUCT(((MAX(0,L26+AY26+AZ26-(Tables!$B$22+IF(B26&gt;=Tables!$B$27,2*Tables!$B$23,0))))&gt;Tables!$A$31:$A$37)*((MAX(0,L26+AY26+AZ26-(Tables!$B$22+IF(B26&gt;=Tables!$B$27,2*Tables!$B$23,0))))-Tables!$A$31:$A$37)*Tables!$C$31:$C$37)-O26</f>
        <v/>
      </c>
      <c r="BB26">
        <f>IF((L26+BA26)+0.5*H26&lt;=Tables!$B$24,0,IF((L26+BA26)+0.5*H26&lt;=Tables!$B$25,MIN(0.5*H26,0.5*((L26+BA26)+0.5*H26-Tables!$B$24)),MIN(0.85*H26,0.85*((L26+BA26)+0.5*H26-Tables!$B$25)+MIN(Tables!$B$26,0.5*H26))))</f>
        <v/>
      </c>
      <c r="BC26">
        <f>R26+SUMPRODUCT(((MAX(0,L26+BA26+BB26-(Tables!$B$22+IF(B26&gt;=Tables!$B$27,2*Tables!$B$23,0))))&gt;Tables!$A$31:$A$37)*((MAX(0,L26+BA26+BB26-(Tables!$B$22+IF(B26&gt;=Tables!$B$27,2*Tables!$B$23,0))))-Tables!$A$31:$A$37)*Tables!$C$31:$C$37)-O26</f>
        <v/>
      </c>
      <c r="BD26">
        <f>IF((L26+BC26)+0.5*H26&lt;=Tables!$B$24,0,IF((L26+BC26)+0.5*H26&lt;=Tables!$B$25,MIN(0.5*H26,0.5*((L26+BC26)+0.5*H26-Tables!$B$24)),MIN(0.85*H26,0.85*((L26+BC26)+0.5*H26-Tables!$B$25)+MIN(Tables!$B$26,0.5*H26))))</f>
        <v/>
      </c>
      <c r="BE26">
        <f>R26+SUMPRODUCT(((MAX(0,L26+BC26+BD26-(Tables!$B$22+IF(B26&gt;=Tables!$B$27,2*Tables!$B$23,0))))&gt;Tables!$A$31:$A$37)*((MAX(0,L26+BC26+BD26-(Tables!$B$22+IF(B26&gt;=Tables!$B$27,2*Tables!$B$23,0))))-Tables!$A$31:$A$37)*Tables!$C$31:$C$37)-O26</f>
        <v/>
      </c>
      <c r="BF26">
        <f>IF((L26+BE26)+0.5*H26&lt;=Tables!$B$24,0,IF((L26+BE26)+0.5*H26&lt;=Tables!$B$25,MIN(0.5*H26,0.5*((L26+BE26)+0.5*H26-Tables!$B$24)),MIN(0.85*H26,0.85*((L26+BE26)+0.5*H26-Tables!$B$25)+MIN(Tables!$B$26,0.5*H26))))</f>
        <v/>
      </c>
      <c r="BG26">
        <f>R26+SUMPRODUCT(((MAX(0,L26+BE26+BF26-(Tables!$B$22+IF(B26&gt;=Tables!$B$27,2*Tables!$B$23,0))))&gt;Tables!$A$31:$A$37)*((MAX(0,L26+BE26+BF26-(Tables!$B$22+IF(B26&gt;=Tables!$B$27,2*Tables!$B$23,0))))-Tables!$A$31:$A$37)*Tables!$C$31:$C$37)-O26</f>
        <v/>
      </c>
      <c r="BH26">
        <f>IF((L26+BG26)+0.5*H26&lt;=Tables!$B$24,0,IF((L26+BG26)+0.5*H26&lt;=Tables!$B$25,MIN(0.5*H26,0.5*((L26+BG26)+0.5*H26-Tables!$B$24)),MIN(0.85*H26,0.85*((L26+BG26)+0.5*H26-Tables!$B$25)+MIN(Tables!$B$26,0.5*H26))))</f>
        <v/>
      </c>
      <c r="BI26">
        <f>R26+SUMPRODUCT(((MAX(0,L26+BG26+BH26-(Tables!$B$22+IF(B26&gt;=Tables!$B$27,2*Tables!$B$23,0))))&gt;Tables!$A$31:$A$37)*((MAX(0,L26+BG26+BH26-(Tables!$B$22+IF(B26&gt;=Tables!$B$27,2*Tables!$B$23,0))))-Tables!$A$31:$A$37)*Tables!$C$31:$C$37)-O26</f>
        <v/>
      </c>
      <c r="BJ26">
        <f>IF((L26+BI26)+0.5*H26&lt;=Tables!$B$24,0,IF((L26+BI26)+0.5*H26&lt;=Tables!$B$25,MIN(0.5*H26,0.5*((L26+BI26)+0.5*H26-Tables!$B$24)),MIN(0.85*H26,0.85*((L26+BI26)+0.5*H26-Tables!$B$25)+MIN(Tables!$B$26,0.5*H26))))</f>
        <v/>
      </c>
      <c r="BK26">
        <f>R26+SUMPRODUCT(((MAX(0,L26+BI26+BJ26-(Tables!$B$22+IF(B26&gt;=Tables!$B$27,2*Tables!$B$23,0))))&gt;Tables!$A$31:$A$37)*((MAX(0,L26+BI26+BJ26-(Tables!$B$22+IF(B26&gt;=Tables!$B$27,2*Tables!$B$23,0))))-Tables!$A$31:$A$37)*Tables!$C$31:$C$37)-O26</f>
        <v/>
      </c>
      <c r="BL26">
        <f>IF((L26+BK26)+0.5*H26&lt;=Tables!$B$24,0,IF((L26+BK26)+0.5*H26&lt;=Tables!$B$25,MIN(0.5*H26,0.5*((L26+BK26)+0.5*H26-Tables!$B$24)),MIN(0.85*H26,0.85*((L26+BK26)+0.5*H26-Tables!$B$25)+MIN(Tables!$B$26,0.5*H26))))</f>
        <v/>
      </c>
      <c r="BM26">
        <f>R26+SUMPRODUCT(((MAX(0,L26+BK26+BL26-(Tables!$B$22+IF(B26&gt;=Tables!$B$27,2*Tables!$B$23,0))))&gt;Tables!$A$31:$A$37)*((MAX(0,L26+BK26+BL26-(Tables!$B$22+IF(B26&gt;=Tables!$B$27,2*Tables!$B$23,0))))-Tables!$A$31:$A$37)*Tables!$C$31:$C$37)-O26</f>
        <v/>
      </c>
      <c r="BN26">
        <f>IF((L26+BM26)+0.5*H26&lt;=Tables!$B$24,0,IF((L26+BM26)+0.5*H26&lt;=Tables!$B$25,MIN(0.5*H26,0.5*((L26+BM26)+0.5*H26-Tables!$B$24)),MIN(0.85*H26,0.85*((L26+BM26)+0.5*H26-Tables!$B$25)+MIN(Tables!$B$26,0.5*H26))))</f>
        <v/>
      </c>
      <c r="BO26">
        <f>R26+SUMPRODUCT(((MAX(0,L26+BM26+BN26-(Tables!$B$22+IF(B26&gt;=Tables!$B$27,2*Tables!$B$23,0))))&gt;Tables!$A$31:$A$37)*((MAX(0,L26+BM26+BN26-(Tables!$B$22+IF(B26&gt;=Tables!$B$27,2*Tables!$B$23,0))))-Tables!$A$31:$A$37)*Tables!$C$31:$C$37)-O26</f>
        <v/>
      </c>
      <c r="BP26">
        <f>MIN(BO26,S26)</f>
        <v/>
      </c>
      <c r="BQ26">
        <f>L26+BP26</f>
        <v/>
      </c>
      <c r="BR26">
        <f>IF(BQ26+0.5*H26&lt;=Tables!$B$24,0,IF(BQ26+0.5*H26&lt;=Tables!$B$25,MIN(0.5*H26,0.5*(BQ26+0.5*H26-Tables!$B$24)),MIN(0.85*H26,0.85*(BQ26+0.5*H26-Tables!$B$25)+MIN(Tables!$B$26,0.5*H26))))</f>
        <v/>
      </c>
      <c r="BS26">
        <f>MAX(0,BQ26+BR26-(Tables!$B$22+IF(B26&gt;=Tables!$B$27,2*Tables!$B$23,0)))</f>
        <v/>
      </c>
      <c r="BT26">
        <f>SUMPRODUCT(((BS26)&gt;Tables!$A$31:$A$37)*((BS26)-Tables!$A$31:$A$37)*Tables!$C$31:$C$37)</f>
        <v/>
      </c>
      <c r="BU26">
        <f>MAX(0,G26-(H26+BQ26+Q26-BT26))</f>
        <v/>
      </c>
      <c r="BV26">
        <f>MIN(J26,BU26)</f>
        <v/>
      </c>
      <c r="BW26">
        <f>H26+BQ26+Q26+BV26</f>
        <v/>
      </c>
      <c r="BX26">
        <f>MAX(0,BW26-G26-BT26)</f>
        <v/>
      </c>
      <c r="BY26">
        <f>MAX(0,G26+BT26-BW26)</f>
        <v/>
      </c>
      <c r="BZ26">
        <f>IF(C26=0,0,MAX(0,I26-BQ26)*(1+D26))</f>
        <v/>
      </c>
      <c r="CA26">
        <f>IF(C26=0,0,MAX(0,J26-BV26)*(1+D26))</f>
        <v/>
      </c>
      <c r="CB26">
        <f>IF(C26=0,0,MAX(0,K26-Q26+BX26)*(1+D26))</f>
        <v/>
      </c>
      <c r="CC26">
        <f>IF(C26=0,CC25,BZ26+CA26+CB26)</f>
        <v/>
      </c>
      <c r="CD26">
        <f>IF(C26=0,9999,IF(OR(BY26&gt;0.0001,CC26&lt;=0.0001),B26,9999))</f>
        <v/>
      </c>
    </row>
    <row r="27">
      <c r="A27" t="n">
        <v>25</v>
      </c>
      <c r="B27">
        <f>Tables!$B$13+A27</f>
        <v/>
      </c>
      <c r="C27">
        <f>IF(B27&lt;=Tables!$B$18,1,0)</f>
        <v/>
      </c>
      <c r="D27">
        <f>INDEX(Tables!$B$83:$B$123,A27+1)</f>
        <v/>
      </c>
      <c r="E27">
        <f>IF(A27=0,0,INDEX(Tables!$B$83:$B$123,A27))</f>
        <v/>
      </c>
      <c r="F27">
        <f>IF(AND(C27=1,Tables!$B$17="YES",A27&gt;0,E27&lt;Tables!$B$16),Tables!$B$15,0)</f>
        <v/>
      </c>
      <c r="G27">
        <f>IF(C27=0,0,Tables!$B$8-IF(B27&gt;=Tables!$B$7,Tables!$B$6,0)+IF(B27&lt;Tables!$B$27,Tables!$B$9,Tables!$B$10)-F27)</f>
        <v/>
      </c>
      <c r="H27">
        <f>IF(C27=0,0,IF(B27&gt;=Tables!$B$78,Tables!$D$78,0)+IF(B27&gt;=Tables!$C$78,Tables!$E$78,0))</f>
        <v/>
      </c>
      <c r="I27">
        <f>IF(C27=0,0,BZ26)</f>
        <v/>
      </c>
      <c r="J27">
        <f>IF(C27=0,0,CA26)</f>
        <v/>
      </c>
      <c r="K27">
        <f>IF(C27=0,0,CB26)</f>
        <v/>
      </c>
      <c r="L27">
        <f>IF(C27=0,0,IF(B27&gt;=Tables!$B$19,MIN(I27,I27/VLOOKUP(B27,Tables!$A$41:$B$61,2,FALSE)),0))</f>
        <v/>
      </c>
      <c r="M27">
        <f>IF(L27+0.5*H27&lt;=Tables!$B$24,0,IF(L27+0.5*H27&lt;=Tables!$B$25,MIN(0.5*H27,0.5*(L27+0.5*H27-Tables!$B$24)),MIN(0.85*H27,0.85*(L27+0.5*H27-Tables!$B$25)+MIN(Tables!$B$26,0.5*H27))))</f>
        <v/>
      </c>
      <c r="N27">
        <f>MAX(0,L27+M27-(Tables!$B$22+IF(B27&gt;=Tables!$B$27,2*Tables!$B$23,0)))</f>
        <v/>
      </c>
      <c r="O27">
        <f>SUMPRODUCT(((N27)&gt;Tables!$A$31:$A$37)*((N27)-Tables!$A$31:$A$37)*Tables!$C$31:$C$37)</f>
        <v/>
      </c>
      <c r="P27">
        <f>G27-(H27+L27-O27)</f>
        <v/>
      </c>
      <c r="Q27">
        <f>MIN(K27,MAX(0,P27))</f>
        <v/>
      </c>
      <c r="R27">
        <f>MAX(0,P27-Q27)</f>
        <v/>
      </c>
      <c r="S27">
        <f>MAX(0,I27-L27)</f>
        <v/>
      </c>
      <c r="T27">
        <f>IF((L27+R27)+0.5*H27&lt;=Tables!$B$24,0,IF((L27+R27)+0.5*H27&lt;=Tables!$B$25,MIN(0.5*H27,0.5*((L27+R27)+0.5*H27-Tables!$B$24)),MIN(0.85*H27,0.85*((L27+R27)+0.5*H27-Tables!$B$25)+MIN(Tables!$B$26,0.5*H27))))</f>
        <v/>
      </c>
      <c r="U27">
        <f>R27+SUMPRODUCT(((MAX(0,L27+R27+T27-(Tables!$B$22+IF(B27&gt;=Tables!$B$27,2*Tables!$B$23,0))))&gt;Tables!$A$31:$A$37)*((MAX(0,L27+R27+T27-(Tables!$B$22+IF(B27&gt;=Tables!$B$27,2*Tables!$B$23,0))))-Tables!$A$31:$A$37)*Tables!$C$31:$C$37)-O27</f>
        <v/>
      </c>
      <c r="V27">
        <f>IF((L27+U27)+0.5*H27&lt;=Tables!$B$24,0,IF((L27+U27)+0.5*H27&lt;=Tables!$B$25,MIN(0.5*H27,0.5*((L27+U27)+0.5*H27-Tables!$B$24)),MIN(0.85*H27,0.85*((L27+U27)+0.5*H27-Tables!$B$25)+MIN(Tables!$B$26,0.5*H27))))</f>
        <v/>
      </c>
      <c r="W27">
        <f>R27+SUMPRODUCT(((MAX(0,L27+U27+V27-(Tables!$B$22+IF(B27&gt;=Tables!$B$27,2*Tables!$B$23,0))))&gt;Tables!$A$31:$A$37)*((MAX(0,L27+U27+V27-(Tables!$B$22+IF(B27&gt;=Tables!$B$27,2*Tables!$B$23,0))))-Tables!$A$31:$A$37)*Tables!$C$31:$C$37)-O27</f>
        <v/>
      </c>
      <c r="X27">
        <f>IF((L27+W27)+0.5*H27&lt;=Tables!$B$24,0,IF((L27+W27)+0.5*H27&lt;=Tables!$B$25,MIN(0.5*H27,0.5*((L27+W27)+0.5*H27-Tables!$B$24)),MIN(0.85*H27,0.85*((L27+W27)+0.5*H27-Tables!$B$25)+MIN(Tables!$B$26,0.5*H27))))</f>
        <v/>
      </c>
      <c r="Y27">
        <f>R27+SUMPRODUCT(((MAX(0,L27+W27+X27-(Tables!$B$22+IF(B27&gt;=Tables!$B$27,2*Tables!$B$23,0))))&gt;Tables!$A$31:$A$37)*((MAX(0,L27+W27+X27-(Tables!$B$22+IF(B27&gt;=Tables!$B$27,2*Tables!$B$23,0))))-Tables!$A$31:$A$37)*Tables!$C$31:$C$37)-O27</f>
        <v/>
      </c>
      <c r="Z27">
        <f>IF((L27+Y27)+0.5*H27&lt;=Tables!$B$24,0,IF((L27+Y27)+0.5*H27&lt;=Tables!$B$25,MIN(0.5*H27,0.5*((L27+Y27)+0.5*H27-Tables!$B$24)),MIN(0.85*H27,0.85*((L27+Y27)+0.5*H27-Tables!$B$25)+MIN(Tables!$B$26,0.5*H27))))</f>
        <v/>
      </c>
      <c r="AA27">
        <f>R27+SUMPRODUCT(((MAX(0,L27+Y27+Z27-(Tables!$B$22+IF(B27&gt;=Tables!$B$27,2*Tables!$B$23,0))))&gt;Tables!$A$31:$A$37)*((MAX(0,L27+Y27+Z27-(Tables!$B$22+IF(B27&gt;=Tables!$B$27,2*Tables!$B$23,0))))-Tables!$A$31:$A$37)*Tables!$C$31:$C$37)-O27</f>
        <v/>
      </c>
      <c r="AB27">
        <f>IF((L27+AA27)+0.5*H27&lt;=Tables!$B$24,0,IF((L27+AA27)+0.5*H27&lt;=Tables!$B$25,MIN(0.5*H27,0.5*((L27+AA27)+0.5*H27-Tables!$B$24)),MIN(0.85*H27,0.85*((L27+AA27)+0.5*H27-Tables!$B$25)+MIN(Tables!$B$26,0.5*H27))))</f>
        <v/>
      </c>
      <c r="AC27">
        <f>R27+SUMPRODUCT(((MAX(0,L27+AA27+AB27-(Tables!$B$22+IF(B27&gt;=Tables!$B$27,2*Tables!$B$23,0))))&gt;Tables!$A$31:$A$37)*((MAX(0,L27+AA27+AB27-(Tables!$B$22+IF(B27&gt;=Tables!$B$27,2*Tables!$B$23,0))))-Tables!$A$31:$A$37)*Tables!$C$31:$C$37)-O27</f>
        <v/>
      </c>
      <c r="AD27">
        <f>IF((L27+AC27)+0.5*H27&lt;=Tables!$B$24,0,IF((L27+AC27)+0.5*H27&lt;=Tables!$B$25,MIN(0.5*H27,0.5*((L27+AC27)+0.5*H27-Tables!$B$24)),MIN(0.85*H27,0.85*((L27+AC27)+0.5*H27-Tables!$B$25)+MIN(Tables!$B$26,0.5*H27))))</f>
        <v/>
      </c>
      <c r="AE27">
        <f>R27+SUMPRODUCT(((MAX(0,L27+AC27+AD27-(Tables!$B$22+IF(B27&gt;=Tables!$B$27,2*Tables!$B$23,0))))&gt;Tables!$A$31:$A$37)*((MAX(0,L27+AC27+AD27-(Tables!$B$22+IF(B27&gt;=Tables!$B$27,2*Tables!$B$23,0))))-Tables!$A$31:$A$37)*Tables!$C$31:$C$37)-O27</f>
        <v/>
      </c>
      <c r="AF27">
        <f>IF((L27+AE27)+0.5*H27&lt;=Tables!$B$24,0,IF((L27+AE27)+0.5*H27&lt;=Tables!$B$25,MIN(0.5*H27,0.5*((L27+AE27)+0.5*H27-Tables!$B$24)),MIN(0.85*H27,0.85*((L27+AE27)+0.5*H27-Tables!$B$25)+MIN(Tables!$B$26,0.5*H27))))</f>
        <v/>
      </c>
      <c r="AG27">
        <f>R27+SUMPRODUCT(((MAX(0,L27+AE27+AF27-(Tables!$B$22+IF(B27&gt;=Tables!$B$27,2*Tables!$B$23,0))))&gt;Tables!$A$31:$A$37)*((MAX(0,L27+AE27+AF27-(Tables!$B$22+IF(B27&gt;=Tables!$B$27,2*Tables!$B$23,0))))-Tables!$A$31:$A$37)*Tables!$C$31:$C$37)-O27</f>
        <v/>
      </c>
      <c r="AH27">
        <f>IF((L27+AG27)+0.5*H27&lt;=Tables!$B$24,0,IF((L27+AG27)+0.5*H27&lt;=Tables!$B$25,MIN(0.5*H27,0.5*((L27+AG27)+0.5*H27-Tables!$B$24)),MIN(0.85*H27,0.85*((L27+AG27)+0.5*H27-Tables!$B$25)+MIN(Tables!$B$26,0.5*H27))))</f>
        <v/>
      </c>
      <c r="AI27">
        <f>R27+SUMPRODUCT(((MAX(0,L27+AG27+AH27-(Tables!$B$22+IF(B27&gt;=Tables!$B$27,2*Tables!$B$23,0))))&gt;Tables!$A$31:$A$37)*((MAX(0,L27+AG27+AH27-(Tables!$B$22+IF(B27&gt;=Tables!$B$27,2*Tables!$B$23,0))))-Tables!$A$31:$A$37)*Tables!$C$31:$C$37)-O27</f>
        <v/>
      </c>
      <c r="AJ27">
        <f>IF((L27+AI27)+0.5*H27&lt;=Tables!$B$24,0,IF((L27+AI27)+0.5*H27&lt;=Tables!$B$25,MIN(0.5*H27,0.5*((L27+AI27)+0.5*H27-Tables!$B$24)),MIN(0.85*H27,0.85*((L27+AI27)+0.5*H27-Tables!$B$25)+MIN(Tables!$B$26,0.5*H27))))</f>
        <v/>
      </c>
      <c r="AK27">
        <f>R27+SUMPRODUCT(((MAX(0,L27+AI27+AJ27-(Tables!$B$22+IF(B27&gt;=Tables!$B$27,2*Tables!$B$23,0))))&gt;Tables!$A$31:$A$37)*((MAX(0,L27+AI27+AJ27-(Tables!$B$22+IF(B27&gt;=Tables!$B$27,2*Tables!$B$23,0))))-Tables!$A$31:$A$37)*Tables!$C$31:$C$37)-O27</f>
        <v/>
      </c>
      <c r="AL27">
        <f>IF((L27+AK27)+0.5*H27&lt;=Tables!$B$24,0,IF((L27+AK27)+0.5*H27&lt;=Tables!$B$25,MIN(0.5*H27,0.5*((L27+AK27)+0.5*H27-Tables!$B$24)),MIN(0.85*H27,0.85*((L27+AK27)+0.5*H27-Tables!$B$25)+MIN(Tables!$B$26,0.5*H27))))</f>
        <v/>
      </c>
      <c r="AM27">
        <f>R27+SUMPRODUCT(((MAX(0,L27+AK27+AL27-(Tables!$B$22+IF(B27&gt;=Tables!$B$27,2*Tables!$B$23,0))))&gt;Tables!$A$31:$A$37)*((MAX(0,L27+AK27+AL27-(Tables!$B$22+IF(B27&gt;=Tables!$B$27,2*Tables!$B$23,0))))-Tables!$A$31:$A$37)*Tables!$C$31:$C$37)-O27</f>
        <v/>
      </c>
      <c r="AN27">
        <f>IF((L27+AM27)+0.5*H27&lt;=Tables!$B$24,0,IF((L27+AM27)+0.5*H27&lt;=Tables!$B$25,MIN(0.5*H27,0.5*((L27+AM27)+0.5*H27-Tables!$B$24)),MIN(0.85*H27,0.85*((L27+AM27)+0.5*H27-Tables!$B$25)+MIN(Tables!$B$26,0.5*H27))))</f>
        <v/>
      </c>
      <c r="AO27">
        <f>R27+SUMPRODUCT(((MAX(0,L27+AM27+AN27-(Tables!$B$22+IF(B27&gt;=Tables!$B$27,2*Tables!$B$23,0))))&gt;Tables!$A$31:$A$37)*((MAX(0,L27+AM27+AN27-(Tables!$B$22+IF(B27&gt;=Tables!$B$27,2*Tables!$B$23,0))))-Tables!$A$31:$A$37)*Tables!$C$31:$C$37)-O27</f>
        <v/>
      </c>
      <c r="AP27">
        <f>IF((L27+AO27)+0.5*H27&lt;=Tables!$B$24,0,IF((L27+AO27)+0.5*H27&lt;=Tables!$B$25,MIN(0.5*H27,0.5*((L27+AO27)+0.5*H27-Tables!$B$24)),MIN(0.85*H27,0.85*((L27+AO27)+0.5*H27-Tables!$B$25)+MIN(Tables!$B$26,0.5*H27))))</f>
        <v/>
      </c>
      <c r="AQ27">
        <f>R27+SUMPRODUCT(((MAX(0,L27+AO27+AP27-(Tables!$B$22+IF(B27&gt;=Tables!$B$27,2*Tables!$B$23,0))))&gt;Tables!$A$31:$A$37)*((MAX(0,L27+AO27+AP27-(Tables!$B$22+IF(B27&gt;=Tables!$B$27,2*Tables!$B$23,0))))-Tables!$A$31:$A$37)*Tables!$C$31:$C$37)-O27</f>
        <v/>
      </c>
      <c r="AR27">
        <f>IF((L27+AQ27)+0.5*H27&lt;=Tables!$B$24,0,IF((L27+AQ27)+0.5*H27&lt;=Tables!$B$25,MIN(0.5*H27,0.5*((L27+AQ27)+0.5*H27-Tables!$B$24)),MIN(0.85*H27,0.85*((L27+AQ27)+0.5*H27-Tables!$B$25)+MIN(Tables!$B$26,0.5*H27))))</f>
        <v/>
      </c>
      <c r="AS27">
        <f>R27+SUMPRODUCT(((MAX(0,L27+AQ27+AR27-(Tables!$B$22+IF(B27&gt;=Tables!$B$27,2*Tables!$B$23,0))))&gt;Tables!$A$31:$A$37)*((MAX(0,L27+AQ27+AR27-(Tables!$B$22+IF(B27&gt;=Tables!$B$27,2*Tables!$B$23,0))))-Tables!$A$31:$A$37)*Tables!$C$31:$C$37)-O27</f>
        <v/>
      </c>
      <c r="AT27">
        <f>IF((L27+AS27)+0.5*H27&lt;=Tables!$B$24,0,IF((L27+AS27)+0.5*H27&lt;=Tables!$B$25,MIN(0.5*H27,0.5*((L27+AS27)+0.5*H27-Tables!$B$24)),MIN(0.85*H27,0.85*((L27+AS27)+0.5*H27-Tables!$B$25)+MIN(Tables!$B$26,0.5*H27))))</f>
        <v/>
      </c>
      <c r="AU27">
        <f>R27+SUMPRODUCT(((MAX(0,L27+AS27+AT27-(Tables!$B$22+IF(B27&gt;=Tables!$B$27,2*Tables!$B$23,0))))&gt;Tables!$A$31:$A$37)*((MAX(0,L27+AS27+AT27-(Tables!$B$22+IF(B27&gt;=Tables!$B$27,2*Tables!$B$23,0))))-Tables!$A$31:$A$37)*Tables!$C$31:$C$37)-O27</f>
        <v/>
      </c>
      <c r="AV27">
        <f>IF((L27+AU27)+0.5*H27&lt;=Tables!$B$24,0,IF((L27+AU27)+0.5*H27&lt;=Tables!$B$25,MIN(0.5*H27,0.5*((L27+AU27)+0.5*H27-Tables!$B$24)),MIN(0.85*H27,0.85*((L27+AU27)+0.5*H27-Tables!$B$25)+MIN(Tables!$B$26,0.5*H27))))</f>
        <v/>
      </c>
      <c r="AW27">
        <f>R27+SUMPRODUCT(((MAX(0,L27+AU27+AV27-(Tables!$B$22+IF(B27&gt;=Tables!$B$27,2*Tables!$B$23,0))))&gt;Tables!$A$31:$A$37)*((MAX(0,L27+AU27+AV27-(Tables!$B$22+IF(B27&gt;=Tables!$B$27,2*Tables!$B$23,0))))-Tables!$A$31:$A$37)*Tables!$C$31:$C$37)-O27</f>
        <v/>
      </c>
      <c r="AX27">
        <f>IF((L27+AW27)+0.5*H27&lt;=Tables!$B$24,0,IF((L27+AW27)+0.5*H27&lt;=Tables!$B$25,MIN(0.5*H27,0.5*((L27+AW27)+0.5*H27-Tables!$B$24)),MIN(0.85*H27,0.85*((L27+AW27)+0.5*H27-Tables!$B$25)+MIN(Tables!$B$26,0.5*H27))))</f>
        <v/>
      </c>
      <c r="AY27">
        <f>R27+SUMPRODUCT(((MAX(0,L27+AW27+AX27-(Tables!$B$22+IF(B27&gt;=Tables!$B$27,2*Tables!$B$23,0))))&gt;Tables!$A$31:$A$37)*((MAX(0,L27+AW27+AX27-(Tables!$B$22+IF(B27&gt;=Tables!$B$27,2*Tables!$B$23,0))))-Tables!$A$31:$A$37)*Tables!$C$31:$C$37)-O27</f>
        <v/>
      </c>
      <c r="AZ27">
        <f>IF((L27+AY27)+0.5*H27&lt;=Tables!$B$24,0,IF((L27+AY27)+0.5*H27&lt;=Tables!$B$25,MIN(0.5*H27,0.5*((L27+AY27)+0.5*H27-Tables!$B$24)),MIN(0.85*H27,0.85*((L27+AY27)+0.5*H27-Tables!$B$25)+MIN(Tables!$B$26,0.5*H27))))</f>
        <v/>
      </c>
      <c r="BA27">
        <f>R27+SUMPRODUCT(((MAX(0,L27+AY27+AZ27-(Tables!$B$22+IF(B27&gt;=Tables!$B$27,2*Tables!$B$23,0))))&gt;Tables!$A$31:$A$37)*((MAX(0,L27+AY27+AZ27-(Tables!$B$22+IF(B27&gt;=Tables!$B$27,2*Tables!$B$23,0))))-Tables!$A$31:$A$37)*Tables!$C$31:$C$37)-O27</f>
        <v/>
      </c>
      <c r="BB27">
        <f>IF((L27+BA27)+0.5*H27&lt;=Tables!$B$24,0,IF((L27+BA27)+0.5*H27&lt;=Tables!$B$25,MIN(0.5*H27,0.5*((L27+BA27)+0.5*H27-Tables!$B$24)),MIN(0.85*H27,0.85*((L27+BA27)+0.5*H27-Tables!$B$25)+MIN(Tables!$B$26,0.5*H27))))</f>
        <v/>
      </c>
      <c r="BC27">
        <f>R27+SUMPRODUCT(((MAX(0,L27+BA27+BB27-(Tables!$B$22+IF(B27&gt;=Tables!$B$27,2*Tables!$B$23,0))))&gt;Tables!$A$31:$A$37)*((MAX(0,L27+BA27+BB27-(Tables!$B$22+IF(B27&gt;=Tables!$B$27,2*Tables!$B$23,0))))-Tables!$A$31:$A$37)*Tables!$C$31:$C$37)-O27</f>
        <v/>
      </c>
      <c r="BD27">
        <f>IF((L27+BC27)+0.5*H27&lt;=Tables!$B$24,0,IF((L27+BC27)+0.5*H27&lt;=Tables!$B$25,MIN(0.5*H27,0.5*((L27+BC27)+0.5*H27-Tables!$B$24)),MIN(0.85*H27,0.85*((L27+BC27)+0.5*H27-Tables!$B$25)+MIN(Tables!$B$26,0.5*H27))))</f>
        <v/>
      </c>
      <c r="BE27">
        <f>R27+SUMPRODUCT(((MAX(0,L27+BC27+BD27-(Tables!$B$22+IF(B27&gt;=Tables!$B$27,2*Tables!$B$23,0))))&gt;Tables!$A$31:$A$37)*((MAX(0,L27+BC27+BD27-(Tables!$B$22+IF(B27&gt;=Tables!$B$27,2*Tables!$B$23,0))))-Tables!$A$31:$A$37)*Tables!$C$31:$C$37)-O27</f>
        <v/>
      </c>
      <c r="BF27">
        <f>IF((L27+BE27)+0.5*H27&lt;=Tables!$B$24,0,IF((L27+BE27)+0.5*H27&lt;=Tables!$B$25,MIN(0.5*H27,0.5*((L27+BE27)+0.5*H27-Tables!$B$24)),MIN(0.85*H27,0.85*((L27+BE27)+0.5*H27-Tables!$B$25)+MIN(Tables!$B$26,0.5*H27))))</f>
        <v/>
      </c>
      <c r="BG27">
        <f>R27+SUMPRODUCT(((MAX(0,L27+BE27+BF27-(Tables!$B$22+IF(B27&gt;=Tables!$B$27,2*Tables!$B$23,0))))&gt;Tables!$A$31:$A$37)*((MAX(0,L27+BE27+BF27-(Tables!$B$22+IF(B27&gt;=Tables!$B$27,2*Tables!$B$23,0))))-Tables!$A$31:$A$37)*Tables!$C$31:$C$37)-O27</f>
        <v/>
      </c>
      <c r="BH27">
        <f>IF((L27+BG27)+0.5*H27&lt;=Tables!$B$24,0,IF((L27+BG27)+0.5*H27&lt;=Tables!$B$25,MIN(0.5*H27,0.5*((L27+BG27)+0.5*H27-Tables!$B$24)),MIN(0.85*H27,0.85*((L27+BG27)+0.5*H27-Tables!$B$25)+MIN(Tables!$B$26,0.5*H27))))</f>
        <v/>
      </c>
      <c r="BI27">
        <f>R27+SUMPRODUCT(((MAX(0,L27+BG27+BH27-(Tables!$B$22+IF(B27&gt;=Tables!$B$27,2*Tables!$B$23,0))))&gt;Tables!$A$31:$A$37)*((MAX(0,L27+BG27+BH27-(Tables!$B$22+IF(B27&gt;=Tables!$B$27,2*Tables!$B$23,0))))-Tables!$A$31:$A$37)*Tables!$C$31:$C$37)-O27</f>
        <v/>
      </c>
      <c r="BJ27">
        <f>IF((L27+BI27)+0.5*H27&lt;=Tables!$B$24,0,IF((L27+BI27)+0.5*H27&lt;=Tables!$B$25,MIN(0.5*H27,0.5*((L27+BI27)+0.5*H27-Tables!$B$24)),MIN(0.85*H27,0.85*((L27+BI27)+0.5*H27-Tables!$B$25)+MIN(Tables!$B$26,0.5*H27))))</f>
        <v/>
      </c>
      <c r="BK27">
        <f>R27+SUMPRODUCT(((MAX(0,L27+BI27+BJ27-(Tables!$B$22+IF(B27&gt;=Tables!$B$27,2*Tables!$B$23,0))))&gt;Tables!$A$31:$A$37)*((MAX(0,L27+BI27+BJ27-(Tables!$B$22+IF(B27&gt;=Tables!$B$27,2*Tables!$B$23,0))))-Tables!$A$31:$A$37)*Tables!$C$31:$C$37)-O27</f>
        <v/>
      </c>
      <c r="BL27">
        <f>IF((L27+BK27)+0.5*H27&lt;=Tables!$B$24,0,IF((L27+BK27)+0.5*H27&lt;=Tables!$B$25,MIN(0.5*H27,0.5*((L27+BK27)+0.5*H27-Tables!$B$24)),MIN(0.85*H27,0.85*((L27+BK27)+0.5*H27-Tables!$B$25)+MIN(Tables!$B$26,0.5*H27))))</f>
        <v/>
      </c>
      <c r="BM27">
        <f>R27+SUMPRODUCT(((MAX(0,L27+BK27+BL27-(Tables!$B$22+IF(B27&gt;=Tables!$B$27,2*Tables!$B$23,0))))&gt;Tables!$A$31:$A$37)*((MAX(0,L27+BK27+BL27-(Tables!$B$22+IF(B27&gt;=Tables!$B$27,2*Tables!$B$23,0))))-Tables!$A$31:$A$37)*Tables!$C$31:$C$37)-O27</f>
        <v/>
      </c>
      <c r="BN27">
        <f>IF((L27+BM27)+0.5*H27&lt;=Tables!$B$24,0,IF((L27+BM27)+0.5*H27&lt;=Tables!$B$25,MIN(0.5*H27,0.5*((L27+BM27)+0.5*H27-Tables!$B$24)),MIN(0.85*H27,0.85*((L27+BM27)+0.5*H27-Tables!$B$25)+MIN(Tables!$B$26,0.5*H27))))</f>
        <v/>
      </c>
      <c r="BO27">
        <f>R27+SUMPRODUCT(((MAX(0,L27+BM27+BN27-(Tables!$B$22+IF(B27&gt;=Tables!$B$27,2*Tables!$B$23,0))))&gt;Tables!$A$31:$A$37)*((MAX(0,L27+BM27+BN27-(Tables!$B$22+IF(B27&gt;=Tables!$B$27,2*Tables!$B$23,0))))-Tables!$A$31:$A$37)*Tables!$C$31:$C$37)-O27</f>
        <v/>
      </c>
      <c r="BP27">
        <f>MIN(BO27,S27)</f>
        <v/>
      </c>
      <c r="BQ27">
        <f>L27+BP27</f>
        <v/>
      </c>
      <c r="BR27">
        <f>IF(BQ27+0.5*H27&lt;=Tables!$B$24,0,IF(BQ27+0.5*H27&lt;=Tables!$B$25,MIN(0.5*H27,0.5*(BQ27+0.5*H27-Tables!$B$24)),MIN(0.85*H27,0.85*(BQ27+0.5*H27-Tables!$B$25)+MIN(Tables!$B$26,0.5*H27))))</f>
        <v/>
      </c>
      <c r="BS27">
        <f>MAX(0,BQ27+BR27-(Tables!$B$22+IF(B27&gt;=Tables!$B$27,2*Tables!$B$23,0)))</f>
        <v/>
      </c>
      <c r="BT27">
        <f>SUMPRODUCT(((BS27)&gt;Tables!$A$31:$A$37)*((BS27)-Tables!$A$31:$A$37)*Tables!$C$31:$C$37)</f>
        <v/>
      </c>
      <c r="BU27">
        <f>MAX(0,G27-(H27+BQ27+Q27-BT27))</f>
        <v/>
      </c>
      <c r="BV27">
        <f>MIN(J27,BU27)</f>
        <v/>
      </c>
      <c r="BW27">
        <f>H27+BQ27+Q27+BV27</f>
        <v/>
      </c>
      <c r="BX27">
        <f>MAX(0,BW27-G27-BT27)</f>
        <v/>
      </c>
      <c r="BY27">
        <f>MAX(0,G27+BT27-BW27)</f>
        <v/>
      </c>
      <c r="BZ27">
        <f>IF(C27=0,0,MAX(0,I27-BQ27)*(1+D27))</f>
        <v/>
      </c>
      <c r="CA27">
        <f>IF(C27=0,0,MAX(0,J27-BV27)*(1+D27))</f>
        <v/>
      </c>
      <c r="CB27">
        <f>IF(C27=0,0,MAX(0,K27-Q27+BX27)*(1+D27))</f>
        <v/>
      </c>
      <c r="CC27">
        <f>IF(C27=0,CC26,BZ27+CA27+CB27)</f>
        <v/>
      </c>
      <c r="CD27">
        <f>IF(C27=0,9999,IF(OR(BY27&gt;0.0001,CC27&lt;=0.0001),B27,9999))</f>
        <v/>
      </c>
    </row>
    <row r="28">
      <c r="A28" t="n">
        <v>26</v>
      </c>
      <c r="B28">
        <f>Tables!$B$13+A28</f>
        <v/>
      </c>
      <c r="C28">
        <f>IF(B28&lt;=Tables!$B$18,1,0)</f>
        <v/>
      </c>
      <c r="D28">
        <f>INDEX(Tables!$B$83:$B$123,A28+1)</f>
        <v/>
      </c>
      <c r="E28">
        <f>IF(A28=0,0,INDEX(Tables!$B$83:$B$123,A28))</f>
        <v/>
      </c>
      <c r="F28">
        <f>IF(AND(C28=1,Tables!$B$17="YES",A28&gt;0,E28&lt;Tables!$B$16),Tables!$B$15,0)</f>
        <v/>
      </c>
      <c r="G28">
        <f>IF(C28=0,0,Tables!$B$8-IF(B28&gt;=Tables!$B$7,Tables!$B$6,0)+IF(B28&lt;Tables!$B$27,Tables!$B$9,Tables!$B$10)-F28)</f>
        <v/>
      </c>
      <c r="H28">
        <f>IF(C28=0,0,IF(B28&gt;=Tables!$B$78,Tables!$D$78,0)+IF(B28&gt;=Tables!$C$78,Tables!$E$78,0))</f>
        <v/>
      </c>
      <c r="I28">
        <f>IF(C28=0,0,BZ27)</f>
        <v/>
      </c>
      <c r="J28">
        <f>IF(C28=0,0,CA27)</f>
        <v/>
      </c>
      <c r="K28">
        <f>IF(C28=0,0,CB27)</f>
        <v/>
      </c>
      <c r="L28">
        <f>IF(C28=0,0,IF(B28&gt;=Tables!$B$19,MIN(I28,I28/VLOOKUP(B28,Tables!$A$41:$B$61,2,FALSE)),0))</f>
        <v/>
      </c>
      <c r="M28">
        <f>IF(L28+0.5*H28&lt;=Tables!$B$24,0,IF(L28+0.5*H28&lt;=Tables!$B$25,MIN(0.5*H28,0.5*(L28+0.5*H28-Tables!$B$24)),MIN(0.85*H28,0.85*(L28+0.5*H28-Tables!$B$25)+MIN(Tables!$B$26,0.5*H28))))</f>
        <v/>
      </c>
      <c r="N28">
        <f>MAX(0,L28+M28-(Tables!$B$22+IF(B28&gt;=Tables!$B$27,2*Tables!$B$23,0)))</f>
        <v/>
      </c>
      <c r="O28">
        <f>SUMPRODUCT(((N28)&gt;Tables!$A$31:$A$37)*((N28)-Tables!$A$31:$A$37)*Tables!$C$31:$C$37)</f>
        <v/>
      </c>
      <c r="P28">
        <f>G28-(H28+L28-O28)</f>
        <v/>
      </c>
      <c r="Q28">
        <f>MIN(K28,MAX(0,P28))</f>
        <v/>
      </c>
      <c r="R28">
        <f>MAX(0,P28-Q28)</f>
        <v/>
      </c>
      <c r="S28">
        <f>MAX(0,I28-L28)</f>
        <v/>
      </c>
      <c r="T28">
        <f>IF((L28+R28)+0.5*H28&lt;=Tables!$B$24,0,IF((L28+R28)+0.5*H28&lt;=Tables!$B$25,MIN(0.5*H28,0.5*((L28+R28)+0.5*H28-Tables!$B$24)),MIN(0.85*H28,0.85*((L28+R28)+0.5*H28-Tables!$B$25)+MIN(Tables!$B$26,0.5*H28))))</f>
        <v/>
      </c>
      <c r="U28">
        <f>R28+SUMPRODUCT(((MAX(0,L28+R28+T28-(Tables!$B$22+IF(B28&gt;=Tables!$B$27,2*Tables!$B$23,0))))&gt;Tables!$A$31:$A$37)*((MAX(0,L28+R28+T28-(Tables!$B$22+IF(B28&gt;=Tables!$B$27,2*Tables!$B$23,0))))-Tables!$A$31:$A$37)*Tables!$C$31:$C$37)-O28</f>
        <v/>
      </c>
      <c r="V28">
        <f>IF((L28+U28)+0.5*H28&lt;=Tables!$B$24,0,IF((L28+U28)+0.5*H28&lt;=Tables!$B$25,MIN(0.5*H28,0.5*((L28+U28)+0.5*H28-Tables!$B$24)),MIN(0.85*H28,0.85*((L28+U28)+0.5*H28-Tables!$B$25)+MIN(Tables!$B$26,0.5*H28))))</f>
        <v/>
      </c>
      <c r="W28">
        <f>R28+SUMPRODUCT(((MAX(0,L28+U28+V28-(Tables!$B$22+IF(B28&gt;=Tables!$B$27,2*Tables!$B$23,0))))&gt;Tables!$A$31:$A$37)*((MAX(0,L28+U28+V28-(Tables!$B$22+IF(B28&gt;=Tables!$B$27,2*Tables!$B$23,0))))-Tables!$A$31:$A$37)*Tables!$C$31:$C$37)-O28</f>
        <v/>
      </c>
      <c r="X28">
        <f>IF((L28+W28)+0.5*H28&lt;=Tables!$B$24,0,IF((L28+W28)+0.5*H28&lt;=Tables!$B$25,MIN(0.5*H28,0.5*((L28+W28)+0.5*H28-Tables!$B$24)),MIN(0.85*H28,0.85*((L28+W28)+0.5*H28-Tables!$B$25)+MIN(Tables!$B$26,0.5*H28))))</f>
        <v/>
      </c>
      <c r="Y28">
        <f>R28+SUMPRODUCT(((MAX(0,L28+W28+X28-(Tables!$B$22+IF(B28&gt;=Tables!$B$27,2*Tables!$B$23,0))))&gt;Tables!$A$31:$A$37)*((MAX(0,L28+W28+X28-(Tables!$B$22+IF(B28&gt;=Tables!$B$27,2*Tables!$B$23,0))))-Tables!$A$31:$A$37)*Tables!$C$31:$C$37)-O28</f>
        <v/>
      </c>
      <c r="Z28">
        <f>IF((L28+Y28)+0.5*H28&lt;=Tables!$B$24,0,IF((L28+Y28)+0.5*H28&lt;=Tables!$B$25,MIN(0.5*H28,0.5*((L28+Y28)+0.5*H28-Tables!$B$24)),MIN(0.85*H28,0.85*((L28+Y28)+0.5*H28-Tables!$B$25)+MIN(Tables!$B$26,0.5*H28))))</f>
        <v/>
      </c>
      <c r="AA28">
        <f>R28+SUMPRODUCT(((MAX(0,L28+Y28+Z28-(Tables!$B$22+IF(B28&gt;=Tables!$B$27,2*Tables!$B$23,0))))&gt;Tables!$A$31:$A$37)*((MAX(0,L28+Y28+Z28-(Tables!$B$22+IF(B28&gt;=Tables!$B$27,2*Tables!$B$23,0))))-Tables!$A$31:$A$37)*Tables!$C$31:$C$37)-O28</f>
        <v/>
      </c>
      <c r="AB28">
        <f>IF((L28+AA28)+0.5*H28&lt;=Tables!$B$24,0,IF((L28+AA28)+0.5*H28&lt;=Tables!$B$25,MIN(0.5*H28,0.5*((L28+AA28)+0.5*H28-Tables!$B$24)),MIN(0.85*H28,0.85*((L28+AA28)+0.5*H28-Tables!$B$25)+MIN(Tables!$B$26,0.5*H28))))</f>
        <v/>
      </c>
      <c r="AC28">
        <f>R28+SUMPRODUCT(((MAX(0,L28+AA28+AB28-(Tables!$B$22+IF(B28&gt;=Tables!$B$27,2*Tables!$B$23,0))))&gt;Tables!$A$31:$A$37)*((MAX(0,L28+AA28+AB28-(Tables!$B$22+IF(B28&gt;=Tables!$B$27,2*Tables!$B$23,0))))-Tables!$A$31:$A$37)*Tables!$C$31:$C$37)-O28</f>
        <v/>
      </c>
      <c r="AD28">
        <f>IF((L28+AC28)+0.5*H28&lt;=Tables!$B$24,0,IF((L28+AC28)+0.5*H28&lt;=Tables!$B$25,MIN(0.5*H28,0.5*((L28+AC28)+0.5*H28-Tables!$B$24)),MIN(0.85*H28,0.85*((L28+AC28)+0.5*H28-Tables!$B$25)+MIN(Tables!$B$26,0.5*H28))))</f>
        <v/>
      </c>
      <c r="AE28">
        <f>R28+SUMPRODUCT(((MAX(0,L28+AC28+AD28-(Tables!$B$22+IF(B28&gt;=Tables!$B$27,2*Tables!$B$23,0))))&gt;Tables!$A$31:$A$37)*((MAX(0,L28+AC28+AD28-(Tables!$B$22+IF(B28&gt;=Tables!$B$27,2*Tables!$B$23,0))))-Tables!$A$31:$A$37)*Tables!$C$31:$C$37)-O28</f>
        <v/>
      </c>
      <c r="AF28">
        <f>IF((L28+AE28)+0.5*H28&lt;=Tables!$B$24,0,IF((L28+AE28)+0.5*H28&lt;=Tables!$B$25,MIN(0.5*H28,0.5*((L28+AE28)+0.5*H28-Tables!$B$24)),MIN(0.85*H28,0.85*((L28+AE28)+0.5*H28-Tables!$B$25)+MIN(Tables!$B$26,0.5*H28))))</f>
        <v/>
      </c>
      <c r="AG28">
        <f>R28+SUMPRODUCT(((MAX(0,L28+AE28+AF28-(Tables!$B$22+IF(B28&gt;=Tables!$B$27,2*Tables!$B$23,0))))&gt;Tables!$A$31:$A$37)*((MAX(0,L28+AE28+AF28-(Tables!$B$22+IF(B28&gt;=Tables!$B$27,2*Tables!$B$23,0))))-Tables!$A$31:$A$37)*Tables!$C$31:$C$37)-O28</f>
        <v/>
      </c>
      <c r="AH28">
        <f>IF((L28+AG28)+0.5*H28&lt;=Tables!$B$24,0,IF((L28+AG28)+0.5*H28&lt;=Tables!$B$25,MIN(0.5*H28,0.5*((L28+AG28)+0.5*H28-Tables!$B$24)),MIN(0.85*H28,0.85*((L28+AG28)+0.5*H28-Tables!$B$25)+MIN(Tables!$B$26,0.5*H28))))</f>
        <v/>
      </c>
      <c r="AI28">
        <f>R28+SUMPRODUCT(((MAX(0,L28+AG28+AH28-(Tables!$B$22+IF(B28&gt;=Tables!$B$27,2*Tables!$B$23,0))))&gt;Tables!$A$31:$A$37)*((MAX(0,L28+AG28+AH28-(Tables!$B$22+IF(B28&gt;=Tables!$B$27,2*Tables!$B$23,0))))-Tables!$A$31:$A$37)*Tables!$C$31:$C$37)-O28</f>
        <v/>
      </c>
      <c r="AJ28">
        <f>IF((L28+AI28)+0.5*H28&lt;=Tables!$B$24,0,IF((L28+AI28)+0.5*H28&lt;=Tables!$B$25,MIN(0.5*H28,0.5*((L28+AI28)+0.5*H28-Tables!$B$24)),MIN(0.85*H28,0.85*((L28+AI28)+0.5*H28-Tables!$B$25)+MIN(Tables!$B$26,0.5*H28))))</f>
        <v/>
      </c>
      <c r="AK28">
        <f>R28+SUMPRODUCT(((MAX(0,L28+AI28+AJ28-(Tables!$B$22+IF(B28&gt;=Tables!$B$27,2*Tables!$B$23,0))))&gt;Tables!$A$31:$A$37)*((MAX(0,L28+AI28+AJ28-(Tables!$B$22+IF(B28&gt;=Tables!$B$27,2*Tables!$B$23,0))))-Tables!$A$31:$A$37)*Tables!$C$31:$C$37)-O28</f>
        <v/>
      </c>
      <c r="AL28">
        <f>IF((L28+AK28)+0.5*H28&lt;=Tables!$B$24,0,IF((L28+AK28)+0.5*H28&lt;=Tables!$B$25,MIN(0.5*H28,0.5*((L28+AK28)+0.5*H28-Tables!$B$24)),MIN(0.85*H28,0.85*((L28+AK28)+0.5*H28-Tables!$B$25)+MIN(Tables!$B$26,0.5*H28))))</f>
        <v/>
      </c>
      <c r="AM28">
        <f>R28+SUMPRODUCT(((MAX(0,L28+AK28+AL28-(Tables!$B$22+IF(B28&gt;=Tables!$B$27,2*Tables!$B$23,0))))&gt;Tables!$A$31:$A$37)*((MAX(0,L28+AK28+AL28-(Tables!$B$22+IF(B28&gt;=Tables!$B$27,2*Tables!$B$23,0))))-Tables!$A$31:$A$37)*Tables!$C$31:$C$37)-O28</f>
        <v/>
      </c>
      <c r="AN28">
        <f>IF((L28+AM28)+0.5*H28&lt;=Tables!$B$24,0,IF((L28+AM28)+0.5*H28&lt;=Tables!$B$25,MIN(0.5*H28,0.5*((L28+AM28)+0.5*H28-Tables!$B$24)),MIN(0.85*H28,0.85*((L28+AM28)+0.5*H28-Tables!$B$25)+MIN(Tables!$B$26,0.5*H28))))</f>
        <v/>
      </c>
      <c r="AO28">
        <f>R28+SUMPRODUCT(((MAX(0,L28+AM28+AN28-(Tables!$B$22+IF(B28&gt;=Tables!$B$27,2*Tables!$B$23,0))))&gt;Tables!$A$31:$A$37)*((MAX(0,L28+AM28+AN28-(Tables!$B$22+IF(B28&gt;=Tables!$B$27,2*Tables!$B$23,0))))-Tables!$A$31:$A$37)*Tables!$C$31:$C$37)-O28</f>
        <v/>
      </c>
      <c r="AP28">
        <f>IF((L28+AO28)+0.5*H28&lt;=Tables!$B$24,0,IF((L28+AO28)+0.5*H28&lt;=Tables!$B$25,MIN(0.5*H28,0.5*((L28+AO28)+0.5*H28-Tables!$B$24)),MIN(0.85*H28,0.85*((L28+AO28)+0.5*H28-Tables!$B$25)+MIN(Tables!$B$26,0.5*H28))))</f>
        <v/>
      </c>
      <c r="AQ28">
        <f>R28+SUMPRODUCT(((MAX(0,L28+AO28+AP28-(Tables!$B$22+IF(B28&gt;=Tables!$B$27,2*Tables!$B$23,0))))&gt;Tables!$A$31:$A$37)*((MAX(0,L28+AO28+AP28-(Tables!$B$22+IF(B28&gt;=Tables!$B$27,2*Tables!$B$23,0))))-Tables!$A$31:$A$37)*Tables!$C$31:$C$37)-O28</f>
        <v/>
      </c>
      <c r="AR28">
        <f>IF((L28+AQ28)+0.5*H28&lt;=Tables!$B$24,0,IF((L28+AQ28)+0.5*H28&lt;=Tables!$B$25,MIN(0.5*H28,0.5*((L28+AQ28)+0.5*H28-Tables!$B$24)),MIN(0.85*H28,0.85*((L28+AQ28)+0.5*H28-Tables!$B$25)+MIN(Tables!$B$26,0.5*H28))))</f>
        <v/>
      </c>
      <c r="AS28">
        <f>R28+SUMPRODUCT(((MAX(0,L28+AQ28+AR28-(Tables!$B$22+IF(B28&gt;=Tables!$B$27,2*Tables!$B$23,0))))&gt;Tables!$A$31:$A$37)*((MAX(0,L28+AQ28+AR28-(Tables!$B$22+IF(B28&gt;=Tables!$B$27,2*Tables!$B$23,0))))-Tables!$A$31:$A$37)*Tables!$C$31:$C$37)-O28</f>
        <v/>
      </c>
      <c r="AT28">
        <f>IF((L28+AS28)+0.5*H28&lt;=Tables!$B$24,0,IF((L28+AS28)+0.5*H28&lt;=Tables!$B$25,MIN(0.5*H28,0.5*((L28+AS28)+0.5*H28-Tables!$B$24)),MIN(0.85*H28,0.85*((L28+AS28)+0.5*H28-Tables!$B$25)+MIN(Tables!$B$26,0.5*H28))))</f>
        <v/>
      </c>
      <c r="AU28">
        <f>R28+SUMPRODUCT(((MAX(0,L28+AS28+AT28-(Tables!$B$22+IF(B28&gt;=Tables!$B$27,2*Tables!$B$23,0))))&gt;Tables!$A$31:$A$37)*((MAX(0,L28+AS28+AT28-(Tables!$B$22+IF(B28&gt;=Tables!$B$27,2*Tables!$B$23,0))))-Tables!$A$31:$A$37)*Tables!$C$31:$C$37)-O28</f>
        <v/>
      </c>
      <c r="AV28">
        <f>IF((L28+AU28)+0.5*H28&lt;=Tables!$B$24,0,IF((L28+AU28)+0.5*H28&lt;=Tables!$B$25,MIN(0.5*H28,0.5*((L28+AU28)+0.5*H28-Tables!$B$24)),MIN(0.85*H28,0.85*((L28+AU28)+0.5*H28-Tables!$B$25)+MIN(Tables!$B$26,0.5*H28))))</f>
        <v/>
      </c>
      <c r="AW28">
        <f>R28+SUMPRODUCT(((MAX(0,L28+AU28+AV28-(Tables!$B$22+IF(B28&gt;=Tables!$B$27,2*Tables!$B$23,0))))&gt;Tables!$A$31:$A$37)*((MAX(0,L28+AU28+AV28-(Tables!$B$22+IF(B28&gt;=Tables!$B$27,2*Tables!$B$23,0))))-Tables!$A$31:$A$37)*Tables!$C$31:$C$37)-O28</f>
        <v/>
      </c>
      <c r="AX28">
        <f>IF((L28+AW28)+0.5*H28&lt;=Tables!$B$24,0,IF((L28+AW28)+0.5*H28&lt;=Tables!$B$25,MIN(0.5*H28,0.5*((L28+AW28)+0.5*H28-Tables!$B$24)),MIN(0.85*H28,0.85*((L28+AW28)+0.5*H28-Tables!$B$25)+MIN(Tables!$B$26,0.5*H28))))</f>
        <v/>
      </c>
      <c r="AY28">
        <f>R28+SUMPRODUCT(((MAX(0,L28+AW28+AX28-(Tables!$B$22+IF(B28&gt;=Tables!$B$27,2*Tables!$B$23,0))))&gt;Tables!$A$31:$A$37)*((MAX(0,L28+AW28+AX28-(Tables!$B$22+IF(B28&gt;=Tables!$B$27,2*Tables!$B$23,0))))-Tables!$A$31:$A$37)*Tables!$C$31:$C$37)-O28</f>
        <v/>
      </c>
      <c r="AZ28">
        <f>IF((L28+AY28)+0.5*H28&lt;=Tables!$B$24,0,IF((L28+AY28)+0.5*H28&lt;=Tables!$B$25,MIN(0.5*H28,0.5*((L28+AY28)+0.5*H28-Tables!$B$24)),MIN(0.85*H28,0.85*((L28+AY28)+0.5*H28-Tables!$B$25)+MIN(Tables!$B$26,0.5*H28))))</f>
        <v/>
      </c>
      <c r="BA28">
        <f>R28+SUMPRODUCT(((MAX(0,L28+AY28+AZ28-(Tables!$B$22+IF(B28&gt;=Tables!$B$27,2*Tables!$B$23,0))))&gt;Tables!$A$31:$A$37)*((MAX(0,L28+AY28+AZ28-(Tables!$B$22+IF(B28&gt;=Tables!$B$27,2*Tables!$B$23,0))))-Tables!$A$31:$A$37)*Tables!$C$31:$C$37)-O28</f>
        <v/>
      </c>
      <c r="BB28">
        <f>IF((L28+BA28)+0.5*H28&lt;=Tables!$B$24,0,IF((L28+BA28)+0.5*H28&lt;=Tables!$B$25,MIN(0.5*H28,0.5*((L28+BA28)+0.5*H28-Tables!$B$24)),MIN(0.85*H28,0.85*((L28+BA28)+0.5*H28-Tables!$B$25)+MIN(Tables!$B$26,0.5*H28))))</f>
        <v/>
      </c>
      <c r="BC28">
        <f>R28+SUMPRODUCT(((MAX(0,L28+BA28+BB28-(Tables!$B$22+IF(B28&gt;=Tables!$B$27,2*Tables!$B$23,0))))&gt;Tables!$A$31:$A$37)*((MAX(0,L28+BA28+BB28-(Tables!$B$22+IF(B28&gt;=Tables!$B$27,2*Tables!$B$23,0))))-Tables!$A$31:$A$37)*Tables!$C$31:$C$37)-O28</f>
        <v/>
      </c>
      <c r="BD28">
        <f>IF((L28+BC28)+0.5*H28&lt;=Tables!$B$24,0,IF((L28+BC28)+0.5*H28&lt;=Tables!$B$25,MIN(0.5*H28,0.5*((L28+BC28)+0.5*H28-Tables!$B$24)),MIN(0.85*H28,0.85*((L28+BC28)+0.5*H28-Tables!$B$25)+MIN(Tables!$B$26,0.5*H28))))</f>
        <v/>
      </c>
      <c r="BE28">
        <f>R28+SUMPRODUCT(((MAX(0,L28+BC28+BD28-(Tables!$B$22+IF(B28&gt;=Tables!$B$27,2*Tables!$B$23,0))))&gt;Tables!$A$31:$A$37)*((MAX(0,L28+BC28+BD28-(Tables!$B$22+IF(B28&gt;=Tables!$B$27,2*Tables!$B$23,0))))-Tables!$A$31:$A$37)*Tables!$C$31:$C$37)-O28</f>
        <v/>
      </c>
      <c r="BF28">
        <f>IF((L28+BE28)+0.5*H28&lt;=Tables!$B$24,0,IF((L28+BE28)+0.5*H28&lt;=Tables!$B$25,MIN(0.5*H28,0.5*((L28+BE28)+0.5*H28-Tables!$B$24)),MIN(0.85*H28,0.85*((L28+BE28)+0.5*H28-Tables!$B$25)+MIN(Tables!$B$26,0.5*H28))))</f>
        <v/>
      </c>
      <c r="BG28">
        <f>R28+SUMPRODUCT(((MAX(0,L28+BE28+BF28-(Tables!$B$22+IF(B28&gt;=Tables!$B$27,2*Tables!$B$23,0))))&gt;Tables!$A$31:$A$37)*((MAX(0,L28+BE28+BF28-(Tables!$B$22+IF(B28&gt;=Tables!$B$27,2*Tables!$B$23,0))))-Tables!$A$31:$A$37)*Tables!$C$31:$C$37)-O28</f>
        <v/>
      </c>
      <c r="BH28">
        <f>IF((L28+BG28)+0.5*H28&lt;=Tables!$B$24,0,IF((L28+BG28)+0.5*H28&lt;=Tables!$B$25,MIN(0.5*H28,0.5*((L28+BG28)+0.5*H28-Tables!$B$24)),MIN(0.85*H28,0.85*((L28+BG28)+0.5*H28-Tables!$B$25)+MIN(Tables!$B$26,0.5*H28))))</f>
        <v/>
      </c>
      <c r="BI28">
        <f>R28+SUMPRODUCT(((MAX(0,L28+BG28+BH28-(Tables!$B$22+IF(B28&gt;=Tables!$B$27,2*Tables!$B$23,0))))&gt;Tables!$A$31:$A$37)*((MAX(0,L28+BG28+BH28-(Tables!$B$22+IF(B28&gt;=Tables!$B$27,2*Tables!$B$23,0))))-Tables!$A$31:$A$37)*Tables!$C$31:$C$37)-O28</f>
        <v/>
      </c>
      <c r="BJ28">
        <f>IF((L28+BI28)+0.5*H28&lt;=Tables!$B$24,0,IF((L28+BI28)+0.5*H28&lt;=Tables!$B$25,MIN(0.5*H28,0.5*((L28+BI28)+0.5*H28-Tables!$B$24)),MIN(0.85*H28,0.85*((L28+BI28)+0.5*H28-Tables!$B$25)+MIN(Tables!$B$26,0.5*H28))))</f>
        <v/>
      </c>
      <c r="BK28">
        <f>R28+SUMPRODUCT(((MAX(0,L28+BI28+BJ28-(Tables!$B$22+IF(B28&gt;=Tables!$B$27,2*Tables!$B$23,0))))&gt;Tables!$A$31:$A$37)*((MAX(0,L28+BI28+BJ28-(Tables!$B$22+IF(B28&gt;=Tables!$B$27,2*Tables!$B$23,0))))-Tables!$A$31:$A$37)*Tables!$C$31:$C$37)-O28</f>
        <v/>
      </c>
      <c r="BL28">
        <f>IF((L28+BK28)+0.5*H28&lt;=Tables!$B$24,0,IF((L28+BK28)+0.5*H28&lt;=Tables!$B$25,MIN(0.5*H28,0.5*((L28+BK28)+0.5*H28-Tables!$B$24)),MIN(0.85*H28,0.85*((L28+BK28)+0.5*H28-Tables!$B$25)+MIN(Tables!$B$26,0.5*H28))))</f>
        <v/>
      </c>
      <c r="BM28">
        <f>R28+SUMPRODUCT(((MAX(0,L28+BK28+BL28-(Tables!$B$22+IF(B28&gt;=Tables!$B$27,2*Tables!$B$23,0))))&gt;Tables!$A$31:$A$37)*((MAX(0,L28+BK28+BL28-(Tables!$B$22+IF(B28&gt;=Tables!$B$27,2*Tables!$B$23,0))))-Tables!$A$31:$A$37)*Tables!$C$31:$C$37)-O28</f>
        <v/>
      </c>
      <c r="BN28">
        <f>IF((L28+BM28)+0.5*H28&lt;=Tables!$B$24,0,IF((L28+BM28)+0.5*H28&lt;=Tables!$B$25,MIN(0.5*H28,0.5*((L28+BM28)+0.5*H28-Tables!$B$24)),MIN(0.85*H28,0.85*((L28+BM28)+0.5*H28-Tables!$B$25)+MIN(Tables!$B$26,0.5*H28))))</f>
        <v/>
      </c>
      <c r="BO28">
        <f>R28+SUMPRODUCT(((MAX(0,L28+BM28+BN28-(Tables!$B$22+IF(B28&gt;=Tables!$B$27,2*Tables!$B$23,0))))&gt;Tables!$A$31:$A$37)*((MAX(0,L28+BM28+BN28-(Tables!$B$22+IF(B28&gt;=Tables!$B$27,2*Tables!$B$23,0))))-Tables!$A$31:$A$37)*Tables!$C$31:$C$37)-O28</f>
        <v/>
      </c>
      <c r="BP28">
        <f>MIN(BO28,S28)</f>
        <v/>
      </c>
      <c r="BQ28">
        <f>L28+BP28</f>
        <v/>
      </c>
      <c r="BR28">
        <f>IF(BQ28+0.5*H28&lt;=Tables!$B$24,0,IF(BQ28+0.5*H28&lt;=Tables!$B$25,MIN(0.5*H28,0.5*(BQ28+0.5*H28-Tables!$B$24)),MIN(0.85*H28,0.85*(BQ28+0.5*H28-Tables!$B$25)+MIN(Tables!$B$26,0.5*H28))))</f>
        <v/>
      </c>
      <c r="BS28">
        <f>MAX(0,BQ28+BR28-(Tables!$B$22+IF(B28&gt;=Tables!$B$27,2*Tables!$B$23,0)))</f>
        <v/>
      </c>
      <c r="BT28">
        <f>SUMPRODUCT(((BS28)&gt;Tables!$A$31:$A$37)*((BS28)-Tables!$A$31:$A$37)*Tables!$C$31:$C$37)</f>
        <v/>
      </c>
      <c r="BU28">
        <f>MAX(0,G28-(H28+BQ28+Q28-BT28))</f>
        <v/>
      </c>
      <c r="BV28">
        <f>MIN(J28,BU28)</f>
        <v/>
      </c>
      <c r="BW28">
        <f>H28+BQ28+Q28+BV28</f>
        <v/>
      </c>
      <c r="BX28">
        <f>MAX(0,BW28-G28-BT28)</f>
        <v/>
      </c>
      <c r="BY28">
        <f>MAX(0,G28+BT28-BW28)</f>
        <v/>
      </c>
      <c r="BZ28">
        <f>IF(C28=0,0,MAX(0,I28-BQ28)*(1+D28))</f>
        <v/>
      </c>
      <c r="CA28">
        <f>IF(C28=0,0,MAX(0,J28-BV28)*(1+D28))</f>
        <v/>
      </c>
      <c r="CB28">
        <f>IF(C28=0,0,MAX(0,K28-Q28+BX28)*(1+D28))</f>
        <v/>
      </c>
      <c r="CC28">
        <f>IF(C28=0,CC27,BZ28+CA28+CB28)</f>
        <v/>
      </c>
      <c r="CD28">
        <f>IF(C28=0,9999,IF(OR(BY28&gt;0.0001,CC28&lt;=0.0001),B28,9999))</f>
        <v/>
      </c>
    </row>
    <row r="29">
      <c r="A29" t="n">
        <v>27</v>
      </c>
      <c r="B29">
        <f>Tables!$B$13+A29</f>
        <v/>
      </c>
      <c r="C29">
        <f>IF(B29&lt;=Tables!$B$18,1,0)</f>
        <v/>
      </c>
      <c r="D29">
        <f>INDEX(Tables!$B$83:$B$123,A29+1)</f>
        <v/>
      </c>
      <c r="E29">
        <f>IF(A29=0,0,INDEX(Tables!$B$83:$B$123,A29))</f>
        <v/>
      </c>
      <c r="F29">
        <f>IF(AND(C29=1,Tables!$B$17="YES",A29&gt;0,E29&lt;Tables!$B$16),Tables!$B$15,0)</f>
        <v/>
      </c>
      <c r="G29">
        <f>IF(C29=0,0,Tables!$B$8-IF(B29&gt;=Tables!$B$7,Tables!$B$6,0)+IF(B29&lt;Tables!$B$27,Tables!$B$9,Tables!$B$10)-F29)</f>
        <v/>
      </c>
      <c r="H29">
        <f>IF(C29=0,0,IF(B29&gt;=Tables!$B$78,Tables!$D$78,0)+IF(B29&gt;=Tables!$C$78,Tables!$E$78,0))</f>
        <v/>
      </c>
      <c r="I29">
        <f>IF(C29=0,0,BZ28)</f>
        <v/>
      </c>
      <c r="J29">
        <f>IF(C29=0,0,CA28)</f>
        <v/>
      </c>
      <c r="K29">
        <f>IF(C29=0,0,CB28)</f>
        <v/>
      </c>
      <c r="L29">
        <f>IF(C29=0,0,IF(B29&gt;=Tables!$B$19,MIN(I29,I29/VLOOKUP(B29,Tables!$A$41:$B$61,2,FALSE)),0))</f>
        <v/>
      </c>
      <c r="M29">
        <f>IF(L29+0.5*H29&lt;=Tables!$B$24,0,IF(L29+0.5*H29&lt;=Tables!$B$25,MIN(0.5*H29,0.5*(L29+0.5*H29-Tables!$B$24)),MIN(0.85*H29,0.85*(L29+0.5*H29-Tables!$B$25)+MIN(Tables!$B$26,0.5*H29))))</f>
        <v/>
      </c>
      <c r="N29">
        <f>MAX(0,L29+M29-(Tables!$B$22+IF(B29&gt;=Tables!$B$27,2*Tables!$B$23,0)))</f>
        <v/>
      </c>
      <c r="O29">
        <f>SUMPRODUCT(((N29)&gt;Tables!$A$31:$A$37)*((N29)-Tables!$A$31:$A$37)*Tables!$C$31:$C$37)</f>
        <v/>
      </c>
      <c r="P29">
        <f>G29-(H29+L29-O29)</f>
        <v/>
      </c>
      <c r="Q29">
        <f>MIN(K29,MAX(0,P29))</f>
        <v/>
      </c>
      <c r="R29">
        <f>MAX(0,P29-Q29)</f>
        <v/>
      </c>
      <c r="S29">
        <f>MAX(0,I29-L29)</f>
        <v/>
      </c>
      <c r="T29">
        <f>IF((L29+R29)+0.5*H29&lt;=Tables!$B$24,0,IF((L29+R29)+0.5*H29&lt;=Tables!$B$25,MIN(0.5*H29,0.5*((L29+R29)+0.5*H29-Tables!$B$24)),MIN(0.85*H29,0.85*((L29+R29)+0.5*H29-Tables!$B$25)+MIN(Tables!$B$26,0.5*H29))))</f>
        <v/>
      </c>
      <c r="U29">
        <f>R29+SUMPRODUCT(((MAX(0,L29+R29+T29-(Tables!$B$22+IF(B29&gt;=Tables!$B$27,2*Tables!$B$23,0))))&gt;Tables!$A$31:$A$37)*((MAX(0,L29+R29+T29-(Tables!$B$22+IF(B29&gt;=Tables!$B$27,2*Tables!$B$23,0))))-Tables!$A$31:$A$37)*Tables!$C$31:$C$37)-O29</f>
        <v/>
      </c>
      <c r="V29">
        <f>IF((L29+U29)+0.5*H29&lt;=Tables!$B$24,0,IF((L29+U29)+0.5*H29&lt;=Tables!$B$25,MIN(0.5*H29,0.5*((L29+U29)+0.5*H29-Tables!$B$24)),MIN(0.85*H29,0.85*((L29+U29)+0.5*H29-Tables!$B$25)+MIN(Tables!$B$26,0.5*H29))))</f>
        <v/>
      </c>
      <c r="W29">
        <f>R29+SUMPRODUCT(((MAX(0,L29+U29+V29-(Tables!$B$22+IF(B29&gt;=Tables!$B$27,2*Tables!$B$23,0))))&gt;Tables!$A$31:$A$37)*((MAX(0,L29+U29+V29-(Tables!$B$22+IF(B29&gt;=Tables!$B$27,2*Tables!$B$23,0))))-Tables!$A$31:$A$37)*Tables!$C$31:$C$37)-O29</f>
        <v/>
      </c>
      <c r="X29">
        <f>IF((L29+W29)+0.5*H29&lt;=Tables!$B$24,0,IF((L29+W29)+0.5*H29&lt;=Tables!$B$25,MIN(0.5*H29,0.5*((L29+W29)+0.5*H29-Tables!$B$24)),MIN(0.85*H29,0.85*((L29+W29)+0.5*H29-Tables!$B$25)+MIN(Tables!$B$26,0.5*H29))))</f>
        <v/>
      </c>
      <c r="Y29">
        <f>R29+SUMPRODUCT(((MAX(0,L29+W29+X29-(Tables!$B$22+IF(B29&gt;=Tables!$B$27,2*Tables!$B$23,0))))&gt;Tables!$A$31:$A$37)*((MAX(0,L29+W29+X29-(Tables!$B$22+IF(B29&gt;=Tables!$B$27,2*Tables!$B$23,0))))-Tables!$A$31:$A$37)*Tables!$C$31:$C$37)-O29</f>
        <v/>
      </c>
      <c r="Z29">
        <f>IF((L29+Y29)+0.5*H29&lt;=Tables!$B$24,0,IF((L29+Y29)+0.5*H29&lt;=Tables!$B$25,MIN(0.5*H29,0.5*((L29+Y29)+0.5*H29-Tables!$B$24)),MIN(0.85*H29,0.85*((L29+Y29)+0.5*H29-Tables!$B$25)+MIN(Tables!$B$26,0.5*H29))))</f>
        <v/>
      </c>
      <c r="AA29">
        <f>R29+SUMPRODUCT(((MAX(0,L29+Y29+Z29-(Tables!$B$22+IF(B29&gt;=Tables!$B$27,2*Tables!$B$23,0))))&gt;Tables!$A$31:$A$37)*((MAX(0,L29+Y29+Z29-(Tables!$B$22+IF(B29&gt;=Tables!$B$27,2*Tables!$B$23,0))))-Tables!$A$31:$A$37)*Tables!$C$31:$C$37)-O29</f>
        <v/>
      </c>
      <c r="AB29">
        <f>IF((L29+AA29)+0.5*H29&lt;=Tables!$B$24,0,IF((L29+AA29)+0.5*H29&lt;=Tables!$B$25,MIN(0.5*H29,0.5*((L29+AA29)+0.5*H29-Tables!$B$24)),MIN(0.85*H29,0.85*((L29+AA29)+0.5*H29-Tables!$B$25)+MIN(Tables!$B$26,0.5*H29))))</f>
        <v/>
      </c>
      <c r="AC29">
        <f>R29+SUMPRODUCT(((MAX(0,L29+AA29+AB29-(Tables!$B$22+IF(B29&gt;=Tables!$B$27,2*Tables!$B$23,0))))&gt;Tables!$A$31:$A$37)*((MAX(0,L29+AA29+AB29-(Tables!$B$22+IF(B29&gt;=Tables!$B$27,2*Tables!$B$23,0))))-Tables!$A$31:$A$37)*Tables!$C$31:$C$37)-O29</f>
        <v/>
      </c>
      <c r="AD29">
        <f>IF((L29+AC29)+0.5*H29&lt;=Tables!$B$24,0,IF((L29+AC29)+0.5*H29&lt;=Tables!$B$25,MIN(0.5*H29,0.5*((L29+AC29)+0.5*H29-Tables!$B$24)),MIN(0.85*H29,0.85*((L29+AC29)+0.5*H29-Tables!$B$25)+MIN(Tables!$B$26,0.5*H29))))</f>
        <v/>
      </c>
      <c r="AE29">
        <f>R29+SUMPRODUCT(((MAX(0,L29+AC29+AD29-(Tables!$B$22+IF(B29&gt;=Tables!$B$27,2*Tables!$B$23,0))))&gt;Tables!$A$31:$A$37)*((MAX(0,L29+AC29+AD29-(Tables!$B$22+IF(B29&gt;=Tables!$B$27,2*Tables!$B$23,0))))-Tables!$A$31:$A$37)*Tables!$C$31:$C$37)-O29</f>
        <v/>
      </c>
      <c r="AF29">
        <f>IF((L29+AE29)+0.5*H29&lt;=Tables!$B$24,0,IF((L29+AE29)+0.5*H29&lt;=Tables!$B$25,MIN(0.5*H29,0.5*((L29+AE29)+0.5*H29-Tables!$B$24)),MIN(0.85*H29,0.85*((L29+AE29)+0.5*H29-Tables!$B$25)+MIN(Tables!$B$26,0.5*H29))))</f>
        <v/>
      </c>
      <c r="AG29">
        <f>R29+SUMPRODUCT(((MAX(0,L29+AE29+AF29-(Tables!$B$22+IF(B29&gt;=Tables!$B$27,2*Tables!$B$23,0))))&gt;Tables!$A$31:$A$37)*((MAX(0,L29+AE29+AF29-(Tables!$B$22+IF(B29&gt;=Tables!$B$27,2*Tables!$B$23,0))))-Tables!$A$31:$A$37)*Tables!$C$31:$C$37)-O29</f>
        <v/>
      </c>
      <c r="AH29">
        <f>IF((L29+AG29)+0.5*H29&lt;=Tables!$B$24,0,IF((L29+AG29)+0.5*H29&lt;=Tables!$B$25,MIN(0.5*H29,0.5*((L29+AG29)+0.5*H29-Tables!$B$24)),MIN(0.85*H29,0.85*((L29+AG29)+0.5*H29-Tables!$B$25)+MIN(Tables!$B$26,0.5*H29))))</f>
        <v/>
      </c>
      <c r="AI29">
        <f>R29+SUMPRODUCT(((MAX(0,L29+AG29+AH29-(Tables!$B$22+IF(B29&gt;=Tables!$B$27,2*Tables!$B$23,0))))&gt;Tables!$A$31:$A$37)*((MAX(0,L29+AG29+AH29-(Tables!$B$22+IF(B29&gt;=Tables!$B$27,2*Tables!$B$23,0))))-Tables!$A$31:$A$37)*Tables!$C$31:$C$37)-O29</f>
        <v/>
      </c>
      <c r="AJ29">
        <f>IF((L29+AI29)+0.5*H29&lt;=Tables!$B$24,0,IF((L29+AI29)+0.5*H29&lt;=Tables!$B$25,MIN(0.5*H29,0.5*((L29+AI29)+0.5*H29-Tables!$B$24)),MIN(0.85*H29,0.85*((L29+AI29)+0.5*H29-Tables!$B$25)+MIN(Tables!$B$26,0.5*H29))))</f>
        <v/>
      </c>
      <c r="AK29">
        <f>R29+SUMPRODUCT(((MAX(0,L29+AI29+AJ29-(Tables!$B$22+IF(B29&gt;=Tables!$B$27,2*Tables!$B$23,0))))&gt;Tables!$A$31:$A$37)*((MAX(0,L29+AI29+AJ29-(Tables!$B$22+IF(B29&gt;=Tables!$B$27,2*Tables!$B$23,0))))-Tables!$A$31:$A$37)*Tables!$C$31:$C$37)-O29</f>
        <v/>
      </c>
      <c r="AL29">
        <f>IF((L29+AK29)+0.5*H29&lt;=Tables!$B$24,0,IF((L29+AK29)+0.5*H29&lt;=Tables!$B$25,MIN(0.5*H29,0.5*((L29+AK29)+0.5*H29-Tables!$B$24)),MIN(0.85*H29,0.85*((L29+AK29)+0.5*H29-Tables!$B$25)+MIN(Tables!$B$26,0.5*H29))))</f>
        <v/>
      </c>
      <c r="AM29">
        <f>R29+SUMPRODUCT(((MAX(0,L29+AK29+AL29-(Tables!$B$22+IF(B29&gt;=Tables!$B$27,2*Tables!$B$23,0))))&gt;Tables!$A$31:$A$37)*((MAX(0,L29+AK29+AL29-(Tables!$B$22+IF(B29&gt;=Tables!$B$27,2*Tables!$B$23,0))))-Tables!$A$31:$A$37)*Tables!$C$31:$C$37)-O29</f>
        <v/>
      </c>
      <c r="AN29">
        <f>IF((L29+AM29)+0.5*H29&lt;=Tables!$B$24,0,IF((L29+AM29)+0.5*H29&lt;=Tables!$B$25,MIN(0.5*H29,0.5*((L29+AM29)+0.5*H29-Tables!$B$24)),MIN(0.85*H29,0.85*((L29+AM29)+0.5*H29-Tables!$B$25)+MIN(Tables!$B$26,0.5*H29))))</f>
        <v/>
      </c>
      <c r="AO29">
        <f>R29+SUMPRODUCT(((MAX(0,L29+AM29+AN29-(Tables!$B$22+IF(B29&gt;=Tables!$B$27,2*Tables!$B$23,0))))&gt;Tables!$A$31:$A$37)*((MAX(0,L29+AM29+AN29-(Tables!$B$22+IF(B29&gt;=Tables!$B$27,2*Tables!$B$23,0))))-Tables!$A$31:$A$37)*Tables!$C$31:$C$37)-O29</f>
        <v/>
      </c>
      <c r="AP29">
        <f>IF((L29+AO29)+0.5*H29&lt;=Tables!$B$24,0,IF((L29+AO29)+0.5*H29&lt;=Tables!$B$25,MIN(0.5*H29,0.5*((L29+AO29)+0.5*H29-Tables!$B$24)),MIN(0.85*H29,0.85*((L29+AO29)+0.5*H29-Tables!$B$25)+MIN(Tables!$B$26,0.5*H29))))</f>
        <v/>
      </c>
      <c r="AQ29">
        <f>R29+SUMPRODUCT(((MAX(0,L29+AO29+AP29-(Tables!$B$22+IF(B29&gt;=Tables!$B$27,2*Tables!$B$23,0))))&gt;Tables!$A$31:$A$37)*((MAX(0,L29+AO29+AP29-(Tables!$B$22+IF(B29&gt;=Tables!$B$27,2*Tables!$B$23,0))))-Tables!$A$31:$A$37)*Tables!$C$31:$C$37)-O29</f>
        <v/>
      </c>
      <c r="AR29">
        <f>IF((L29+AQ29)+0.5*H29&lt;=Tables!$B$24,0,IF((L29+AQ29)+0.5*H29&lt;=Tables!$B$25,MIN(0.5*H29,0.5*((L29+AQ29)+0.5*H29-Tables!$B$24)),MIN(0.85*H29,0.85*((L29+AQ29)+0.5*H29-Tables!$B$25)+MIN(Tables!$B$26,0.5*H29))))</f>
        <v/>
      </c>
      <c r="AS29">
        <f>R29+SUMPRODUCT(((MAX(0,L29+AQ29+AR29-(Tables!$B$22+IF(B29&gt;=Tables!$B$27,2*Tables!$B$23,0))))&gt;Tables!$A$31:$A$37)*((MAX(0,L29+AQ29+AR29-(Tables!$B$22+IF(B29&gt;=Tables!$B$27,2*Tables!$B$23,0))))-Tables!$A$31:$A$37)*Tables!$C$31:$C$37)-O29</f>
        <v/>
      </c>
      <c r="AT29">
        <f>IF((L29+AS29)+0.5*H29&lt;=Tables!$B$24,0,IF((L29+AS29)+0.5*H29&lt;=Tables!$B$25,MIN(0.5*H29,0.5*((L29+AS29)+0.5*H29-Tables!$B$24)),MIN(0.85*H29,0.85*((L29+AS29)+0.5*H29-Tables!$B$25)+MIN(Tables!$B$26,0.5*H29))))</f>
        <v/>
      </c>
      <c r="AU29">
        <f>R29+SUMPRODUCT(((MAX(0,L29+AS29+AT29-(Tables!$B$22+IF(B29&gt;=Tables!$B$27,2*Tables!$B$23,0))))&gt;Tables!$A$31:$A$37)*((MAX(0,L29+AS29+AT29-(Tables!$B$22+IF(B29&gt;=Tables!$B$27,2*Tables!$B$23,0))))-Tables!$A$31:$A$37)*Tables!$C$31:$C$37)-O29</f>
        <v/>
      </c>
      <c r="AV29">
        <f>IF((L29+AU29)+0.5*H29&lt;=Tables!$B$24,0,IF((L29+AU29)+0.5*H29&lt;=Tables!$B$25,MIN(0.5*H29,0.5*((L29+AU29)+0.5*H29-Tables!$B$24)),MIN(0.85*H29,0.85*((L29+AU29)+0.5*H29-Tables!$B$25)+MIN(Tables!$B$26,0.5*H29))))</f>
        <v/>
      </c>
      <c r="AW29">
        <f>R29+SUMPRODUCT(((MAX(0,L29+AU29+AV29-(Tables!$B$22+IF(B29&gt;=Tables!$B$27,2*Tables!$B$23,0))))&gt;Tables!$A$31:$A$37)*((MAX(0,L29+AU29+AV29-(Tables!$B$22+IF(B29&gt;=Tables!$B$27,2*Tables!$B$23,0))))-Tables!$A$31:$A$37)*Tables!$C$31:$C$37)-O29</f>
        <v/>
      </c>
      <c r="AX29">
        <f>IF((L29+AW29)+0.5*H29&lt;=Tables!$B$24,0,IF((L29+AW29)+0.5*H29&lt;=Tables!$B$25,MIN(0.5*H29,0.5*((L29+AW29)+0.5*H29-Tables!$B$24)),MIN(0.85*H29,0.85*((L29+AW29)+0.5*H29-Tables!$B$25)+MIN(Tables!$B$26,0.5*H29))))</f>
        <v/>
      </c>
      <c r="AY29">
        <f>R29+SUMPRODUCT(((MAX(0,L29+AW29+AX29-(Tables!$B$22+IF(B29&gt;=Tables!$B$27,2*Tables!$B$23,0))))&gt;Tables!$A$31:$A$37)*((MAX(0,L29+AW29+AX29-(Tables!$B$22+IF(B29&gt;=Tables!$B$27,2*Tables!$B$23,0))))-Tables!$A$31:$A$37)*Tables!$C$31:$C$37)-O29</f>
        <v/>
      </c>
      <c r="AZ29">
        <f>IF((L29+AY29)+0.5*H29&lt;=Tables!$B$24,0,IF((L29+AY29)+0.5*H29&lt;=Tables!$B$25,MIN(0.5*H29,0.5*((L29+AY29)+0.5*H29-Tables!$B$24)),MIN(0.85*H29,0.85*((L29+AY29)+0.5*H29-Tables!$B$25)+MIN(Tables!$B$26,0.5*H29))))</f>
        <v/>
      </c>
      <c r="BA29">
        <f>R29+SUMPRODUCT(((MAX(0,L29+AY29+AZ29-(Tables!$B$22+IF(B29&gt;=Tables!$B$27,2*Tables!$B$23,0))))&gt;Tables!$A$31:$A$37)*((MAX(0,L29+AY29+AZ29-(Tables!$B$22+IF(B29&gt;=Tables!$B$27,2*Tables!$B$23,0))))-Tables!$A$31:$A$37)*Tables!$C$31:$C$37)-O29</f>
        <v/>
      </c>
      <c r="BB29">
        <f>IF((L29+BA29)+0.5*H29&lt;=Tables!$B$24,0,IF((L29+BA29)+0.5*H29&lt;=Tables!$B$25,MIN(0.5*H29,0.5*((L29+BA29)+0.5*H29-Tables!$B$24)),MIN(0.85*H29,0.85*((L29+BA29)+0.5*H29-Tables!$B$25)+MIN(Tables!$B$26,0.5*H29))))</f>
        <v/>
      </c>
      <c r="BC29">
        <f>R29+SUMPRODUCT(((MAX(0,L29+BA29+BB29-(Tables!$B$22+IF(B29&gt;=Tables!$B$27,2*Tables!$B$23,0))))&gt;Tables!$A$31:$A$37)*((MAX(0,L29+BA29+BB29-(Tables!$B$22+IF(B29&gt;=Tables!$B$27,2*Tables!$B$23,0))))-Tables!$A$31:$A$37)*Tables!$C$31:$C$37)-O29</f>
        <v/>
      </c>
      <c r="BD29">
        <f>IF((L29+BC29)+0.5*H29&lt;=Tables!$B$24,0,IF((L29+BC29)+0.5*H29&lt;=Tables!$B$25,MIN(0.5*H29,0.5*((L29+BC29)+0.5*H29-Tables!$B$24)),MIN(0.85*H29,0.85*((L29+BC29)+0.5*H29-Tables!$B$25)+MIN(Tables!$B$26,0.5*H29))))</f>
        <v/>
      </c>
      <c r="BE29">
        <f>R29+SUMPRODUCT(((MAX(0,L29+BC29+BD29-(Tables!$B$22+IF(B29&gt;=Tables!$B$27,2*Tables!$B$23,0))))&gt;Tables!$A$31:$A$37)*((MAX(0,L29+BC29+BD29-(Tables!$B$22+IF(B29&gt;=Tables!$B$27,2*Tables!$B$23,0))))-Tables!$A$31:$A$37)*Tables!$C$31:$C$37)-O29</f>
        <v/>
      </c>
      <c r="BF29">
        <f>IF((L29+BE29)+0.5*H29&lt;=Tables!$B$24,0,IF((L29+BE29)+0.5*H29&lt;=Tables!$B$25,MIN(0.5*H29,0.5*((L29+BE29)+0.5*H29-Tables!$B$24)),MIN(0.85*H29,0.85*((L29+BE29)+0.5*H29-Tables!$B$25)+MIN(Tables!$B$26,0.5*H29))))</f>
        <v/>
      </c>
      <c r="BG29">
        <f>R29+SUMPRODUCT(((MAX(0,L29+BE29+BF29-(Tables!$B$22+IF(B29&gt;=Tables!$B$27,2*Tables!$B$23,0))))&gt;Tables!$A$31:$A$37)*((MAX(0,L29+BE29+BF29-(Tables!$B$22+IF(B29&gt;=Tables!$B$27,2*Tables!$B$23,0))))-Tables!$A$31:$A$37)*Tables!$C$31:$C$37)-O29</f>
        <v/>
      </c>
      <c r="BH29">
        <f>IF((L29+BG29)+0.5*H29&lt;=Tables!$B$24,0,IF((L29+BG29)+0.5*H29&lt;=Tables!$B$25,MIN(0.5*H29,0.5*((L29+BG29)+0.5*H29-Tables!$B$24)),MIN(0.85*H29,0.85*((L29+BG29)+0.5*H29-Tables!$B$25)+MIN(Tables!$B$26,0.5*H29))))</f>
        <v/>
      </c>
      <c r="BI29">
        <f>R29+SUMPRODUCT(((MAX(0,L29+BG29+BH29-(Tables!$B$22+IF(B29&gt;=Tables!$B$27,2*Tables!$B$23,0))))&gt;Tables!$A$31:$A$37)*((MAX(0,L29+BG29+BH29-(Tables!$B$22+IF(B29&gt;=Tables!$B$27,2*Tables!$B$23,0))))-Tables!$A$31:$A$37)*Tables!$C$31:$C$37)-O29</f>
        <v/>
      </c>
      <c r="BJ29">
        <f>IF((L29+BI29)+0.5*H29&lt;=Tables!$B$24,0,IF((L29+BI29)+0.5*H29&lt;=Tables!$B$25,MIN(0.5*H29,0.5*((L29+BI29)+0.5*H29-Tables!$B$24)),MIN(0.85*H29,0.85*((L29+BI29)+0.5*H29-Tables!$B$25)+MIN(Tables!$B$26,0.5*H29))))</f>
        <v/>
      </c>
      <c r="BK29">
        <f>R29+SUMPRODUCT(((MAX(0,L29+BI29+BJ29-(Tables!$B$22+IF(B29&gt;=Tables!$B$27,2*Tables!$B$23,0))))&gt;Tables!$A$31:$A$37)*((MAX(0,L29+BI29+BJ29-(Tables!$B$22+IF(B29&gt;=Tables!$B$27,2*Tables!$B$23,0))))-Tables!$A$31:$A$37)*Tables!$C$31:$C$37)-O29</f>
        <v/>
      </c>
      <c r="BL29">
        <f>IF((L29+BK29)+0.5*H29&lt;=Tables!$B$24,0,IF((L29+BK29)+0.5*H29&lt;=Tables!$B$25,MIN(0.5*H29,0.5*((L29+BK29)+0.5*H29-Tables!$B$24)),MIN(0.85*H29,0.85*((L29+BK29)+0.5*H29-Tables!$B$25)+MIN(Tables!$B$26,0.5*H29))))</f>
        <v/>
      </c>
      <c r="BM29">
        <f>R29+SUMPRODUCT(((MAX(0,L29+BK29+BL29-(Tables!$B$22+IF(B29&gt;=Tables!$B$27,2*Tables!$B$23,0))))&gt;Tables!$A$31:$A$37)*((MAX(0,L29+BK29+BL29-(Tables!$B$22+IF(B29&gt;=Tables!$B$27,2*Tables!$B$23,0))))-Tables!$A$31:$A$37)*Tables!$C$31:$C$37)-O29</f>
        <v/>
      </c>
      <c r="BN29">
        <f>IF((L29+BM29)+0.5*H29&lt;=Tables!$B$24,0,IF((L29+BM29)+0.5*H29&lt;=Tables!$B$25,MIN(0.5*H29,0.5*((L29+BM29)+0.5*H29-Tables!$B$24)),MIN(0.85*H29,0.85*((L29+BM29)+0.5*H29-Tables!$B$25)+MIN(Tables!$B$26,0.5*H29))))</f>
        <v/>
      </c>
      <c r="BO29">
        <f>R29+SUMPRODUCT(((MAX(0,L29+BM29+BN29-(Tables!$B$22+IF(B29&gt;=Tables!$B$27,2*Tables!$B$23,0))))&gt;Tables!$A$31:$A$37)*((MAX(0,L29+BM29+BN29-(Tables!$B$22+IF(B29&gt;=Tables!$B$27,2*Tables!$B$23,0))))-Tables!$A$31:$A$37)*Tables!$C$31:$C$37)-O29</f>
        <v/>
      </c>
      <c r="BP29">
        <f>MIN(BO29,S29)</f>
        <v/>
      </c>
      <c r="BQ29">
        <f>L29+BP29</f>
        <v/>
      </c>
      <c r="BR29">
        <f>IF(BQ29+0.5*H29&lt;=Tables!$B$24,0,IF(BQ29+0.5*H29&lt;=Tables!$B$25,MIN(0.5*H29,0.5*(BQ29+0.5*H29-Tables!$B$24)),MIN(0.85*H29,0.85*(BQ29+0.5*H29-Tables!$B$25)+MIN(Tables!$B$26,0.5*H29))))</f>
        <v/>
      </c>
      <c r="BS29">
        <f>MAX(0,BQ29+BR29-(Tables!$B$22+IF(B29&gt;=Tables!$B$27,2*Tables!$B$23,0)))</f>
        <v/>
      </c>
      <c r="BT29">
        <f>SUMPRODUCT(((BS29)&gt;Tables!$A$31:$A$37)*((BS29)-Tables!$A$31:$A$37)*Tables!$C$31:$C$37)</f>
        <v/>
      </c>
      <c r="BU29">
        <f>MAX(0,G29-(H29+BQ29+Q29-BT29))</f>
        <v/>
      </c>
      <c r="BV29">
        <f>MIN(J29,BU29)</f>
        <v/>
      </c>
      <c r="BW29">
        <f>H29+BQ29+Q29+BV29</f>
        <v/>
      </c>
      <c r="BX29">
        <f>MAX(0,BW29-G29-BT29)</f>
        <v/>
      </c>
      <c r="BY29">
        <f>MAX(0,G29+BT29-BW29)</f>
        <v/>
      </c>
      <c r="BZ29">
        <f>IF(C29=0,0,MAX(0,I29-BQ29)*(1+D29))</f>
        <v/>
      </c>
      <c r="CA29">
        <f>IF(C29=0,0,MAX(0,J29-BV29)*(1+D29))</f>
        <v/>
      </c>
      <c r="CB29">
        <f>IF(C29=0,0,MAX(0,K29-Q29+BX29)*(1+D29))</f>
        <v/>
      </c>
      <c r="CC29">
        <f>IF(C29=0,CC28,BZ29+CA29+CB29)</f>
        <v/>
      </c>
      <c r="CD29">
        <f>IF(C29=0,9999,IF(OR(BY29&gt;0.0001,CC29&lt;=0.0001),B29,9999))</f>
        <v/>
      </c>
    </row>
    <row r="30">
      <c r="A30" t="n">
        <v>28</v>
      </c>
      <c r="B30">
        <f>Tables!$B$13+A30</f>
        <v/>
      </c>
      <c r="C30">
        <f>IF(B30&lt;=Tables!$B$18,1,0)</f>
        <v/>
      </c>
      <c r="D30">
        <f>INDEX(Tables!$B$83:$B$123,A30+1)</f>
        <v/>
      </c>
      <c r="E30">
        <f>IF(A30=0,0,INDEX(Tables!$B$83:$B$123,A30))</f>
        <v/>
      </c>
      <c r="F30">
        <f>IF(AND(C30=1,Tables!$B$17="YES",A30&gt;0,E30&lt;Tables!$B$16),Tables!$B$15,0)</f>
        <v/>
      </c>
      <c r="G30">
        <f>IF(C30=0,0,Tables!$B$8-IF(B30&gt;=Tables!$B$7,Tables!$B$6,0)+IF(B30&lt;Tables!$B$27,Tables!$B$9,Tables!$B$10)-F30)</f>
        <v/>
      </c>
      <c r="H30">
        <f>IF(C30=0,0,IF(B30&gt;=Tables!$B$78,Tables!$D$78,0)+IF(B30&gt;=Tables!$C$78,Tables!$E$78,0))</f>
        <v/>
      </c>
      <c r="I30">
        <f>IF(C30=0,0,BZ29)</f>
        <v/>
      </c>
      <c r="J30">
        <f>IF(C30=0,0,CA29)</f>
        <v/>
      </c>
      <c r="K30">
        <f>IF(C30=0,0,CB29)</f>
        <v/>
      </c>
      <c r="L30">
        <f>IF(C30=0,0,IF(B30&gt;=Tables!$B$19,MIN(I30,I30/VLOOKUP(B30,Tables!$A$41:$B$61,2,FALSE)),0))</f>
        <v/>
      </c>
      <c r="M30">
        <f>IF(L30+0.5*H30&lt;=Tables!$B$24,0,IF(L30+0.5*H30&lt;=Tables!$B$25,MIN(0.5*H30,0.5*(L30+0.5*H30-Tables!$B$24)),MIN(0.85*H30,0.85*(L30+0.5*H30-Tables!$B$25)+MIN(Tables!$B$26,0.5*H30))))</f>
        <v/>
      </c>
      <c r="N30">
        <f>MAX(0,L30+M30-(Tables!$B$22+IF(B30&gt;=Tables!$B$27,2*Tables!$B$23,0)))</f>
        <v/>
      </c>
      <c r="O30">
        <f>SUMPRODUCT(((N30)&gt;Tables!$A$31:$A$37)*((N30)-Tables!$A$31:$A$37)*Tables!$C$31:$C$37)</f>
        <v/>
      </c>
      <c r="P30">
        <f>G30-(H30+L30-O30)</f>
        <v/>
      </c>
      <c r="Q30">
        <f>MIN(K30,MAX(0,P30))</f>
        <v/>
      </c>
      <c r="R30">
        <f>MAX(0,P30-Q30)</f>
        <v/>
      </c>
      <c r="S30">
        <f>MAX(0,I30-L30)</f>
        <v/>
      </c>
      <c r="T30">
        <f>IF((L30+R30)+0.5*H30&lt;=Tables!$B$24,0,IF((L30+R30)+0.5*H30&lt;=Tables!$B$25,MIN(0.5*H30,0.5*((L30+R30)+0.5*H30-Tables!$B$24)),MIN(0.85*H30,0.85*((L30+R30)+0.5*H30-Tables!$B$25)+MIN(Tables!$B$26,0.5*H30))))</f>
        <v/>
      </c>
      <c r="U30">
        <f>R30+SUMPRODUCT(((MAX(0,L30+R30+T30-(Tables!$B$22+IF(B30&gt;=Tables!$B$27,2*Tables!$B$23,0))))&gt;Tables!$A$31:$A$37)*((MAX(0,L30+R30+T30-(Tables!$B$22+IF(B30&gt;=Tables!$B$27,2*Tables!$B$23,0))))-Tables!$A$31:$A$37)*Tables!$C$31:$C$37)-O30</f>
        <v/>
      </c>
      <c r="V30">
        <f>IF((L30+U30)+0.5*H30&lt;=Tables!$B$24,0,IF((L30+U30)+0.5*H30&lt;=Tables!$B$25,MIN(0.5*H30,0.5*((L30+U30)+0.5*H30-Tables!$B$24)),MIN(0.85*H30,0.85*((L30+U30)+0.5*H30-Tables!$B$25)+MIN(Tables!$B$26,0.5*H30))))</f>
        <v/>
      </c>
      <c r="W30">
        <f>R30+SUMPRODUCT(((MAX(0,L30+U30+V30-(Tables!$B$22+IF(B30&gt;=Tables!$B$27,2*Tables!$B$23,0))))&gt;Tables!$A$31:$A$37)*((MAX(0,L30+U30+V30-(Tables!$B$22+IF(B30&gt;=Tables!$B$27,2*Tables!$B$23,0))))-Tables!$A$31:$A$37)*Tables!$C$31:$C$37)-O30</f>
        <v/>
      </c>
      <c r="X30">
        <f>IF((L30+W30)+0.5*H30&lt;=Tables!$B$24,0,IF((L30+W30)+0.5*H30&lt;=Tables!$B$25,MIN(0.5*H30,0.5*((L30+W30)+0.5*H30-Tables!$B$24)),MIN(0.85*H30,0.85*((L30+W30)+0.5*H30-Tables!$B$25)+MIN(Tables!$B$26,0.5*H30))))</f>
        <v/>
      </c>
      <c r="Y30">
        <f>R30+SUMPRODUCT(((MAX(0,L30+W30+X30-(Tables!$B$22+IF(B30&gt;=Tables!$B$27,2*Tables!$B$23,0))))&gt;Tables!$A$31:$A$37)*((MAX(0,L30+W30+X30-(Tables!$B$22+IF(B30&gt;=Tables!$B$27,2*Tables!$B$23,0))))-Tables!$A$31:$A$37)*Tables!$C$31:$C$37)-O30</f>
        <v/>
      </c>
      <c r="Z30">
        <f>IF((L30+Y30)+0.5*H30&lt;=Tables!$B$24,0,IF((L30+Y30)+0.5*H30&lt;=Tables!$B$25,MIN(0.5*H30,0.5*((L30+Y30)+0.5*H30-Tables!$B$24)),MIN(0.85*H30,0.85*((L30+Y30)+0.5*H30-Tables!$B$25)+MIN(Tables!$B$26,0.5*H30))))</f>
        <v/>
      </c>
      <c r="AA30">
        <f>R30+SUMPRODUCT(((MAX(0,L30+Y30+Z30-(Tables!$B$22+IF(B30&gt;=Tables!$B$27,2*Tables!$B$23,0))))&gt;Tables!$A$31:$A$37)*((MAX(0,L30+Y30+Z30-(Tables!$B$22+IF(B30&gt;=Tables!$B$27,2*Tables!$B$23,0))))-Tables!$A$31:$A$37)*Tables!$C$31:$C$37)-O30</f>
        <v/>
      </c>
      <c r="AB30">
        <f>IF((L30+AA30)+0.5*H30&lt;=Tables!$B$24,0,IF((L30+AA30)+0.5*H30&lt;=Tables!$B$25,MIN(0.5*H30,0.5*((L30+AA30)+0.5*H30-Tables!$B$24)),MIN(0.85*H30,0.85*((L30+AA30)+0.5*H30-Tables!$B$25)+MIN(Tables!$B$26,0.5*H30))))</f>
        <v/>
      </c>
      <c r="AC30">
        <f>R30+SUMPRODUCT(((MAX(0,L30+AA30+AB30-(Tables!$B$22+IF(B30&gt;=Tables!$B$27,2*Tables!$B$23,0))))&gt;Tables!$A$31:$A$37)*((MAX(0,L30+AA30+AB30-(Tables!$B$22+IF(B30&gt;=Tables!$B$27,2*Tables!$B$23,0))))-Tables!$A$31:$A$37)*Tables!$C$31:$C$37)-O30</f>
        <v/>
      </c>
      <c r="AD30">
        <f>IF((L30+AC30)+0.5*H30&lt;=Tables!$B$24,0,IF((L30+AC30)+0.5*H30&lt;=Tables!$B$25,MIN(0.5*H30,0.5*((L30+AC30)+0.5*H30-Tables!$B$24)),MIN(0.85*H30,0.85*((L30+AC30)+0.5*H30-Tables!$B$25)+MIN(Tables!$B$26,0.5*H30))))</f>
        <v/>
      </c>
      <c r="AE30">
        <f>R30+SUMPRODUCT(((MAX(0,L30+AC30+AD30-(Tables!$B$22+IF(B30&gt;=Tables!$B$27,2*Tables!$B$23,0))))&gt;Tables!$A$31:$A$37)*((MAX(0,L30+AC30+AD30-(Tables!$B$22+IF(B30&gt;=Tables!$B$27,2*Tables!$B$23,0))))-Tables!$A$31:$A$37)*Tables!$C$31:$C$37)-O30</f>
        <v/>
      </c>
      <c r="AF30">
        <f>IF((L30+AE30)+0.5*H30&lt;=Tables!$B$24,0,IF((L30+AE30)+0.5*H30&lt;=Tables!$B$25,MIN(0.5*H30,0.5*((L30+AE30)+0.5*H30-Tables!$B$24)),MIN(0.85*H30,0.85*((L30+AE30)+0.5*H30-Tables!$B$25)+MIN(Tables!$B$26,0.5*H30))))</f>
        <v/>
      </c>
      <c r="AG30">
        <f>R30+SUMPRODUCT(((MAX(0,L30+AE30+AF30-(Tables!$B$22+IF(B30&gt;=Tables!$B$27,2*Tables!$B$23,0))))&gt;Tables!$A$31:$A$37)*((MAX(0,L30+AE30+AF30-(Tables!$B$22+IF(B30&gt;=Tables!$B$27,2*Tables!$B$23,0))))-Tables!$A$31:$A$37)*Tables!$C$31:$C$37)-O30</f>
        <v/>
      </c>
      <c r="AH30">
        <f>IF((L30+AG30)+0.5*H30&lt;=Tables!$B$24,0,IF((L30+AG30)+0.5*H30&lt;=Tables!$B$25,MIN(0.5*H30,0.5*((L30+AG30)+0.5*H30-Tables!$B$24)),MIN(0.85*H30,0.85*((L30+AG30)+0.5*H30-Tables!$B$25)+MIN(Tables!$B$26,0.5*H30))))</f>
        <v/>
      </c>
      <c r="AI30">
        <f>R30+SUMPRODUCT(((MAX(0,L30+AG30+AH30-(Tables!$B$22+IF(B30&gt;=Tables!$B$27,2*Tables!$B$23,0))))&gt;Tables!$A$31:$A$37)*((MAX(0,L30+AG30+AH30-(Tables!$B$22+IF(B30&gt;=Tables!$B$27,2*Tables!$B$23,0))))-Tables!$A$31:$A$37)*Tables!$C$31:$C$37)-O30</f>
        <v/>
      </c>
      <c r="AJ30">
        <f>IF((L30+AI30)+0.5*H30&lt;=Tables!$B$24,0,IF((L30+AI30)+0.5*H30&lt;=Tables!$B$25,MIN(0.5*H30,0.5*((L30+AI30)+0.5*H30-Tables!$B$24)),MIN(0.85*H30,0.85*((L30+AI30)+0.5*H30-Tables!$B$25)+MIN(Tables!$B$26,0.5*H30))))</f>
        <v/>
      </c>
      <c r="AK30">
        <f>R30+SUMPRODUCT(((MAX(0,L30+AI30+AJ30-(Tables!$B$22+IF(B30&gt;=Tables!$B$27,2*Tables!$B$23,0))))&gt;Tables!$A$31:$A$37)*((MAX(0,L30+AI30+AJ30-(Tables!$B$22+IF(B30&gt;=Tables!$B$27,2*Tables!$B$23,0))))-Tables!$A$31:$A$37)*Tables!$C$31:$C$37)-O30</f>
        <v/>
      </c>
      <c r="AL30">
        <f>IF((L30+AK30)+0.5*H30&lt;=Tables!$B$24,0,IF((L30+AK30)+0.5*H30&lt;=Tables!$B$25,MIN(0.5*H30,0.5*((L30+AK30)+0.5*H30-Tables!$B$24)),MIN(0.85*H30,0.85*((L30+AK30)+0.5*H30-Tables!$B$25)+MIN(Tables!$B$26,0.5*H30))))</f>
        <v/>
      </c>
      <c r="AM30">
        <f>R30+SUMPRODUCT(((MAX(0,L30+AK30+AL30-(Tables!$B$22+IF(B30&gt;=Tables!$B$27,2*Tables!$B$23,0))))&gt;Tables!$A$31:$A$37)*((MAX(0,L30+AK30+AL30-(Tables!$B$22+IF(B30&gt;=Tables!$B$27,2*Tables!$B$23,0))))-Tables!$A$31:$A$37)*Tables!$C$31:$C$37)-O30</f>
        <v/>
      </c>
      <c r="AN30">
        <f>IF((L30+AM30)+0.5*H30&lt;=Tables!$B$24,0,IF((L30+AM30)+0.5*H30&lt;=Tables!$B$25,MIN(0.5*H30,0.5*((L30+AM30)+0.5*H30-Tables!$B$24)),MIN(0.85*H30,0.85*((L30+AM30)+0.5*H30-Tables!$B$25)+MIN(Tables!$B$26,0.5*H30))))</f>
        <v/>
      </c>
      <c r="AO30">
        <f>R30+SUMPRODUCT(((MAX(0,L30+AM30+AN30-(Tables!$B$22+IF(B30&gt;=Tables!$B$27,2*Tables!$B$23,0))))&gt;Tables!$A$31:$A$37)*((MAX(0,L30+AM30+AN30-(Tables!$B$22+IF(B30&gt;=Tables!$B$27,2*Tables!$B$23,0))))-Tables!$A$31:$A$37)*Tables!$C$31:$C$37)-O30</f>
        <v/>
      </c>
      <c r="AP30">
        <f>IF((L30+AO30)+0.5*H30&lt;=Tables!$B$24,0,IF((L30+AO30)+0.5*H30&lt;=Tables!$B$25,MIN(0.5*H30,0.5*((L30+AO30)+0.5*H30-Tables!$B$24)),MIN(0.85*H30,0.85*((L30+AO30)+0.5*H30-Tables!$B$25)+MIN(Tables!$B$26,0.5*H30))))</f>
        <v/>
      </c>
      <c r="AQ30">
        <f>R30+SUMPRODUCT(((MAX(0,L30+AO30+AP30-(Tables!$B$22+IF(B30&gt;=Tables!$B$27,2*Tables!$B$23,0))))&gt;Tables!$A$31:$A$37)*((MAX(0,L30+AO30+AP30-(Tables!$B$22+IF(B30&gt;=Tables!$B$27,2*Tables!$B$23,0))))-Tables!$A$31:$A$37)*Tables!$C$31:$C$37)-O30</f>
        <v/>
      </c>
      <c r="AR30">
        <f>IF((L30+AQ30)+0.5*H30&lt;=Tables!$B$24,0,IF((L30+AQ30)+0.5*H30&lt;=Tables!$B$25,MIN(0.5*H30,0.5*((L30+AQ30)+0.5*H30-Tables!$B$24)),MIN(0.85*H30,0.85*((L30+AQ30)+0.5*H30-Tables!$B$25)+MIN(Tables!$B$26,0.5*H30))))</f>
        <v/>
      </c>
      <c r="AS30">
        <f>R30+SUMPRODUCT(((MAX(0,L30+AQ30+AR30-(Tables!$B$22+IF(B30&gt;=Tables!$B$27,2*Tables!$B$23,0))))&gt;Tables!$A$31:$A$37)*((MAX(0,L30+AQ30+AR30-(Tables!$B$22+IF(B30&gt;=Tables!$B$27,2*Tables!$B$23,0))))-Tables!$A$31:$A$37)*Tables!$C$31:$C$37)-O30</f>
        <v/>
      </c>
      <c r="AT30">
        <f>IF((L30+AS30)+0.5*H30&lt;=Tables!$B$24,0,IF((L30+AS30)+0.5*H30&lt;=Tables!$B$25,MIN(0.5*H30,0.5*((L30+AS30)+0.5*H30-Tables!$B$24)),MIN(0.85*H30,0.85*((L30+AS30)+0.5*H30-Tables!$B$25)+MIN(Tables!$B$26,0.5*H30))))</f>
        <v/>
      </c>
      <c r="AU30">
        <f>R30+SUMPRODUCT(((MAX(0,L30+AS30+AT30-(Tables!$B$22+IF(B30&gt;=Tables!$B$27,2*Tables!$B$23,0))))&gt;Tables!$A$31:$A$37)*((MAX(0,L30+AS30+AT30-(Tables!$B$22+IF(B30&gt;=Tables!$B$27,2*Tables!$B$23,0))))-Tables!$A$31:$A$37)*Tables!$C$31:$C$37)-O30</f>
        <v/>
      </c>
      <c r="AV30">
        <f>IF((L30+AU30)+0.5*H30&lt;=Tables!$B$24,0,IF((L30+AU30)+0.5*H30&lt;=Tables!$B$25,MIN(0.5*H30,0.5*((L30+AU30)+0.5*H30-Tables!$B$24)),MIN(0.85*H30,0.85*((L30+AU30)+0.5*H30-Tables!$B$25)+MIN(Tables!$B$26,0.5*H30))))</f>
        <v/>
      </c>
      <c r="AW30">
        <f>R30+SUMPRODUCT(((MAX(0,L30+AU30+AV30-(Tables!$B$22+IF(B30&gt;=Tables!$B$27,2*Tables!$B$23,0))))&gt;Tables!$A$31:$A$37)*((MAX(0,L30+AU30+AV30-(Tables!$B$22+IF(B30&gt;=Tables!$B$27,2*Tables!$B$23,0))))-Tables!$A$31:$A$37)*Tables!$C$31:$C$37)-O30</f>
        <v/>
      </c>
      <c r="AX30">
        <f>IF((L30+AW30)+0.5*H30&lt;=Tables!$B$24,0,IF((L30+AW30)+0.5*H30&lt;=Tables!$B$25,MIN(0.5*H30,0.5*((L30+AW30)+0.5*H30-Tables!$B$24)),MIN(0.85*H30,0.85*((L30+AW30)+0.5*H30-Tables!$B$25)+MIN(Tables!$B$26,0.5*H30))))</f>
        <v/>
      </c>
      <c r="AY30">
        <f>R30+SUMPRODUCT(((MAX(0,L30+AW30+AX30-(Tables!$B$22+IF(B30&gt;=Tables!$B$27,2*Tables!$B$23,0))))&gt;Tables!$A$31:$A$37)*((MAX(0,L30+AW30+AX30-(Tables!$B$22+IF(B30&gt;=Tables!$B$27,2*Tables!$B$23,0))))-Tables!$A$31:$A$37)*Tables!$C$31:$C$37)-O30</f>
        <v/>
      </c>
      <c r="AZ30">
        <f>IF((L30+AY30)+0.5*H30&lt;=Tables!$B$24,0,IF((L30+AY30)+0.5*H30&lt;=Tables!$B$25,MIN(0.5*H30,0.5*((L30+AY30)+0.5*H30-Tables!$B$24)),MIN(0.85*H30,0.85*((L30+AY30)+0.5*H30-Tables!$B$25)+MIN(Tables!$B$26,0.5*H30))))</f>
        <v/>
      </c>
      <c r="BA30">
        <f>R30+SUMPRODUCT(((MAX(0,L30+AY30+AZ30-(Tables!$B$22+IF(B30&gt;=Tables!$B$27,2*Tables!$B$23,0))))&gt;Tables!$A$31:$A$37)*((MAX(0,L30+AY30+AZ30-(Tables!$B$22+IF(B30&gt;=Tables!$B$27,2*Tables!$B$23,0))))-Tables!$A$31:$A$37)*Tables!$C$31:$C$37)-O30</f>
        <v/>
      </c>
      <c r="BB30">
        <f>IF((L30+BA30)+0.5*H30&lt;=Tables!$B$24,0,IF((L30+BA30)+0.5*H30&lt;=Tables!$B$25,MIN(0.5*H30,0.5*((L30+BA30)+0.5*H30-Tables!$B$24)),MIN(0.85*H30,0.85*((L30+BA30)+0.5*H30-Tables!$B$25)+MIN(Tables!$B$26,0.5*H30))))</f>
        <v/>
      </c>
      <c r="BC30">
        <f>R30+SUMPRODUCT(((MAX(0,L30+BA30+BB30-(Tables!$B$22+IF(B30&gt;=Tables!$B$27,2*Tables!$B$23,0))))&gt;Tables!$A$31:$A$37)*((MAX(0,L30+BA30+BB30-(Tables!$B$22+IF(B30&gt;=Tables!$B$27,2*Tables!$B$23,0))))-Tables!$A$31:$A$37)*Tables!$C$31:$C$37)-O30</f>
        <v/>
      </c>
      <c r="BD30">
        <f>IF((L30+BC30)+0.5*H30&lt;=Tables!$B$24,0,IF((L30+BC30)+0.5*H30&lt;=Tables!$B$25,MIN(0.5*H30,0.5*((L30+BC30)+0.5*H30-Tables!$B$24)),MIN(0.85*H30,0.85*((L30+BC30)+0.5*H30-Tables!$B$25)+MIN(Tables!$B$26,0.5*H30))))</f>
        <v/>
      </c>
      <c r="BE30">
        <f>R30+SUMPRODUCT(((MAX(0,L30+BC30+BD30-(Tables!$B$22+IF(B30&gt;=Tables!$B$27,2*Tables!$B$23,0))))&gt;Tables!$A$31:$A$37)*((MAX(0,L30+BC30+BD30-(Tables!$B$22+IF(B30&gt;=Tables!$B$27,2*Tables!$B$23,0))))-Tables!$A$31:$A$37)*Tables!$C$31:$C$37)-O30</f>
        <v/>
      </c>
      <c r="BF30">
        <f>IF((L30+BE30)+0.5*H30&lt;=Tables!$B$24,0,IF((L30+BE30)+0.5*H30&lt;=Tables!$B$25,MIN(0.5*H30,0.5*((L30+BE30)+0.5*H30-Tables!$B$24)),MIN(0.85*H30,0.85*((L30+BE30)+0.5*H30-Tables!$B$25)+MIN(Tables!$B$26,0.5*H30))))</f>
        <v/>
      </c>
      <c r="BG30">
        <f>R30+SUMPRODUCT(((MAX(0,L30+BE30+BF30-(Tables!$B$22+IF(B30&gt;=Tables!$B$27,2*Tables!$B$23,0))))&gt;Tables!$A$31:$A$37)*((MAX(0,L30+BE30+BF30-(Tables!$B$22+IF(B30&gt;=Tables!$B$27,2*Tables!$B$23,0))))-Tables!$A$31:$A$37)*Tables!$C$31:$C$37)-O30</f>
        <v/>
      </c>
      <c r="BH30">
        <f>IF((L30+BG30)+0.5*H30&lt;=Tables!$B$24,0,IF((L30+BG30)+0.5*H30&lt;=Tables!$B$25,MIN(0.5*H30,0.5*((L30+BG30)+0.5*H30-Tables!$B$24)),MIN(0.85*H30,0.85*((L30+BG30)+0.5*H30-Tables!$B$25)+MIN(Tables!$B$26,0.5*H30))))</f>
        <v/>
      </c>
      <c r="BI30">
        <f>R30+SUMPRODUCT(((MAX(0,L30+BG30+BH30-(Tables!$B$22+IF(B30&gt;=Tables!$B$27,2*Tables!$B$23,0))))&gt;Tables!$A$31:$A$37)*((MAX(0,L30+BG30+BH30-(Tables!$B$22+IF(B30&gt;=Tables!$B$27,2*Tables!$B$23,0))))-Tables!$A$31:$A$37)*Tables!$C$31:$C$37)-O30</f>
        <v/>
      </c>
      <c r="BJ30">
        <f>IF((L30+BI30)+0.5*H30&lt;=Tables!$B$24,0,IF((L30+BI30)+0.5*H30&lt;=Tables!$B$25,MIN(0.5*H30,0.5*((L30+BI30)+0.5*H30-Tables!$B$24)),MIN(0.85*H30,0.85*((L30+BI30)+0.5*H30-Tables!$B$25)+MIN(Tables!$B$26,0.5*H30))))</f>
        <v/>
      </c>
      <c r="BK30">
        <f>R30+SUMPRODUCT(((MAX(0,L30+BI30+BJ30-(Tables!$B$22+IF(B30&gt;=Tables!$B$27,2*Tables!$B$23,0))))&gt;Tables!$A$31:$A$37)*((MAX(0,L30+BI30+BJ30-(Tables!$B$22+IF(B30&gt;=Tables!$B$27,2*Tables!$B$23,0))))-Tables!$A$31:$A$37)*Tables!$C$31:$C$37)-O30</f>
        <v/>
      </c>
      <c r="BL30">
        <f>IF((L30+BK30)+0.5*H30&lt;=Tables!$B$24,0,IF((L30+BK30)+0.5*H30&lt;=Tables!$B$25,MIN(0.5*H30,0.5*((L30+BK30)+0.5*H30-Tables!$B$24)),MIN(0.85*H30,0.85*((L30+BK30)+0.5*H30-Tables!$B$25)+MIN(Tables!$B$26,0.5*H30))))</f>
        <v/>
      </c>
      <c r="BM30">
        <f>R30+SUMPRODUCT(((MAX(0,L30+BK30+BL30-(Tables!$B$22+IF(B30&gt;=Tables!$B$27,2*Tables!$B$23,0))))&gt;Tables!$A$31:$A$37)*((MAX(0,L30+BK30+BL30-(Tables!$B$22+IF(B30&gt;=Tables!$B$27,2*Tables!$B$23,0))))-Tables!$A$31:$A$37)*Tables!$C$31:$C$37)-O30</f>
        <v/>
      </c>
      <c r="BN30">
        <f>IF((L30+BM30)+0.5*H30&lt;=Tables!$B$24,0,IF((L30+BM30)+0.5*H30&lt;=Tables!$B$25,MIN(0.5*H30,0.5*((L30+BM30)+0.5*H30-Tables!$B$24)),MIN(0.85*H30,0.85*((L30+BM30)+0.5*H30-Tables!$B$25)+MIN(Tables!$B$26,0.5*H30))))</f>
        <v/>
      </c>
      <c r="BO30">
        <f>R30+SUMPRODUCT(((MAX(0,L30+BM30+BN30-(Tables!$B$22+IF(B30&gt;=Tables!$B$27,2*Tables!$B$23,0))))&gt;Tables!$A$31:$A$37)*((MAX(0,L30+BM30+BN30-(Tables!$B$22+IF(B30&gt;=Tables!$B$27,2*Tables!$B$23,0))))-Tables!$A$31:$A$37)*Tables!$C$31:$C$37)-O30</f>
        <v/>
      </c>
      <c r="BP30">
        <f>MIN(BO30,S30)</f>
        <v/>
      </c>
      <c r="BQ30">
        <f>L30+BP30</f>
        <v/>
      </c>
      <c r="BR30">
        <f>IF(BQ30+0.5*H30&lt;=Tables!$B$24,0,IF(BQ30+0.5*H30&lt;=Tables!$B$25,MIN(0.5*H30,0.5*(BQ30+0.5*H30-Tables!$B$24)),MIN(0.85*H30,0.85*(BQ30+0.5*H30-Tables!$B$25)+MIN(Tables!$B$26,0.5*H30))))</f>
        <v/>
      </c>
      <c r="BS30">
        <f>MAX(0,BQ30+BR30-(Tables!$B$22+IF(B30&gt;=Tables!$B$27,2*Tables!$B$23,0)))</f>
        <v/>
      </c>
      <c r="BT30">
        <f>SUMPRODUCT(((BS30)&gt;Tables!$A$31:$A$37)*((BS30)-Tables!$A$31:$A$37)*Tables!$C$31:$C$37)</f>
        <v/>
      </c>
      <c r="BU30">
        <f>MAX(0,G30-(H30+BQ30+Q30-BT30))</f>
        <v/>
      </c>
      <c r="BV30">
        <f>MIN(J30,BU30)</f>
        <v/>
      </c>
      <c r="BW30">
        <f>H30+BQ30+Q30+BV30</f>
        <v/>
      </c>
      <c r="BX30">
        <f>MAX(0,BW30-G30-BT30)</f>
        <v/>
      </c>
      <c r="BY30">
        <f>MAX(0,G30+BT30-BW30)</f>
        <v/>
      </c>
      <c r="BZ30">
        <f>IF(C30=0,0,MAX(0,I30-BQ30)*(1+D30))</f>
        <v/>
      </c>
      <c r="CA30">
        <f>IF(C30=0,0,MAX(0,J30-BV30)*(1+D30))</f>
        <v/>
      </c>
      <c r="CB30">
        <f>IF(C30=0,0,MAX(0,K30-Q30+BX30)*(1+D30))</f>
        <v/>
      </c>
      <c r="CC30">
        <f>IF(C30=0,CC29,BZ30+CA30+CB30)</f>
        <v/>
      </c>
      <c r="CD30">
        <f>IF(C30=0,9999,IF(OR(BY30&gt;0.0001,CC30&lt;=0.0001),B30,9999))</f>
        <v/>
      </c>
    </row>
    <row r="31">
      <c r="A31" t="n">
        <v>29</v>
      </c>
      <c r="B31">
        <f>Tables!$B$13+A31</f>
        <v/>
      </c>
      <c r="C31">
        <f>IF(B31&lt;=Tables!$B$18,1,0)</f>
        <v/>
      </c>
      <c r="D31">
        <f>INDEX(Tables!$B$83:$B$123,A31+1)</f>
        <v/>
      </c>
      <c r="E31">
        <f>IF(A31=0,0,INDEX(Tables!$B$83:$B$123,A31))</f>
        <v/>
      </c>
      <c r="F31">
        <f>IF(AND(C31=1,Tables!$B$17="YES",A31&gt;0,E31&lt;Tables!$B$16),Tables!$B$15,0)</f>
        <v/>
      </c>
      <c r="G31">
        <f>IF(C31=0,0,Tables!$B$8-IF(B31&gt;=Tables!$B$7,Tables!$B$6,0)+IF(B31&lt;Tables!$B$27,Tables!$B$9,Tables!$B$10)-F31)</f>
        <v/>
      </c>
      <c r="H31">
        <f>IF(C31=0,0,IF(B31&gt;=Tables!$B$78,Tables!$D$78,0)+IF(B31&gt;=Tables!$C$78,Tables!$E$78,0))</f>
        <v/>
      </c>
      <c r="I31">
        <f>IF(C31=0,0,BZ30)</f>
        <v/>
      </c>
      <c r="J31">
        <f>IF(C31=0,0,CA30)</f>
        <v/>
      </c>
      <c r="K31">
        <f>IF(C31=0,0,CB30)</f>
        <v/>
      </c>
      <c r="L31">
        <f>IF(C31=0,0,IF(B31&gt;=Tables!$B$19,MIN(I31,I31/VLOOKUP(B31,Tables!$A$41:$B$61,2,FALSE)),0))</f>
        <v/>
      </c>
      <c r="M31">
        <f>IF(L31+0.5*H31&lt;=Tables!$B$24,0,IF(L31+0.5*H31&lt;=Tables!$B$25,MIN(0.5*H31,0.5*(L31+0.5*H31-Tables!$B$24)),MIN(0.85*H31,0.85*(L31+0.5*H31-Tables!$B$25)+MIN(Tables!$B$26,0.5*H31))))</f>
        <v/>
      </c>
      <c r="N31">
        <f>MAX(0,L31+M31-(Tables!$B$22+IF(B31&gt;=Tables!$B$27,2*Tables!$B$23,0)))</f>
        <v/>
      </c>
      <c r="O31">
        <f>SUMPRODUCT(((N31)&gt;Tables!$A$31:$A$37)*((N31)-Tables!$A$31:$A$37)*Tables!$C$31:$C$37)</f>
        <v/>
      </c>
      <c r="P31">
        <f>G31-(H31+L31-O31)</f>
        <v/>
      </c>
      <c r="Q31">
        <f>MIN(K31,MAX(0,P31))</f>
        <v/>
      </c>
      <c r="R31">
        <f>MAX(0,P31-Q31)</f>
        <v/>
      </c>
      <c r="S31">
        <f>MAX(0,I31-L31)</f>
        <v/>
      </c>
      <c r="T31">
        <f>IF((L31+R31)+0.5*H31&lt;=Tables!$B$24,0,IF((L31+R31)+0.5*H31&lt;=Tables!$B$25,MIN(0.5*H31,0.5*((L31+R31)+0.5*H31-Tables!$B$24)),MIN(0.85*H31,0.85*((L31+R31)+0.5*H31-Tables!$B$25)+MIN(Tables!$B$26,0.5*H31))))</f>
        <v/>
      </c>
      <c r="U31">
        <f>R31+SUMPRODUCT(((MAX(0,L31+R31+T31-(Tables!$B$22+IF(B31&gt;=Tables!$B$27,2*Tables!$B$23,0))))&gt;Tables!$A$31:$A$37)*((MAX(0,L31+R31+T31-(Tables!$B$22+IF(B31&gt;=Tables!$B$27,2*Tables!$B$23,0))))-Tables!$A$31:$A$37)*Tables!$C$31:$C$37)-O31</f>
        <v/>
      </c>
      <c r="V31">
        <f>IF((L31+U31)+0.5*H31&lt;=Tables!$B$24,0,IF((L31+U31)+0.5*H31&lt;=Tables!$B$25,MIN(0.5*H31,0.5*((L31+U31)+0.5*H31-Tables!$B$24)),MIN(0.85*H31,0.85*((L31+U31)+0.5*H31-Tables!$B$25)+MIN(Tables!$B$26,0.5*H31))))</f>
        <v/>
      </c>
      <c r="W31">
        <f>R31+SUMPRODUCT(((MAX(0,L31+U31+V31-(Tables!$B$22+IF(B31&gt;=Tables!$B$27,2*Tables!$B$23,0))))&gt;Tables!$A$31:$A$37)*((MAX(0,L31+U31+V31-(Tables!$B$22+IF(B31&gt;=Tables!$B$27,2*Tables!$B$23,0))))-Tables!$A$31:$A$37)*Tables!$C$31:$C$37)-O31</f>
        <v/>
      </c>
      <c r="X31">
        <f>IF((L31+W31)+0.5*H31&lt;=Tables!$B$24,0,IF((L31+W31)+0.5*H31&lt;=Tables!$B$25,MIN(0.5*H31,0.5*((L31+W31)+0.5*H31-Tables!$B$24)),MIN(0.85*H31,0.85*((L31+W31)+0.5*H31-Tables!$B$25)+MIN(Tables!$B$26,0.5*H31))))</f>
        <v/>
      </c>
      <c r="Y31">
        <f>R31+SUMPRODUCT(((MAX(0,L31+W31+X31-(Tables!$B$22+IF(B31&gt;=Tables!$B$27,2*Tables!$B$23,0))))&gt;Tables!$A$31:$A$37)*((MAX(0,L31+W31+X31-(Tables!$B$22+IF(B31&gt;=Tables!$B$27,2*Tables!$B$23,0))))-Tables!$A$31:$A$37)*Tables!$C$31:$C$37)-O31</f>
        <v/>
      </c>
      <c r="Z31">
        <f>IF((L31+Y31)+0.5*H31&lt;=Tables!$B$24,0,IF((L31+Y31)+0.5*H31&lt;=Tables!$B$25,MIN(0.5*H31,0.5*((L31+Y31)+0.5*H31-Tables!$B$24)),MIN(0.85*H31,0.85*((L31+Y31)+0.5*H31-Tables!$B$25)+MIN(Tables!$B$26,0.5*H31))))</f>
        <v/>
      </c>
      <c r="AA31">
        <f>R31+SUMPRODUCT(((MAX(0,L31+Y31+Z31-(Tables!$B$22+IF(B31&gt;=Tables!$B$27,2*Tables!$B$23,0))))&gt;Tables!$A$31:$A$37)*((MAX(0,L31+Y31+Z31-(Tables!$B$22+IF(B31&gt;=Tables!$B$27,2*Tables!$B$23,0))))-Tables!$A$31:$A$37)*Tables!$C$31:$C$37)-O31</f>
        <v/>
      </c>
      <c r="AB31">
        <f>IF((L31+AA31)+0.5*H31&lt;=Tables!$B$24,0,IF((L31+AA31)+0.5*H31&lt;=Tables!$B$25,MIN(0.5*H31,0.5*((L31+AA31)+0.5*H31-Tables!$B$24)),MIN(0.85*H31,0.85*((L31+AA31)+0.5*H31-Tables!$B$25)+MIN(Tables!$B$26,0.5*H31))))</f>
        <v/>
      </c>
      <c r="AC31">
        <f>R31+SUMPRODUCT(((MAX(0,L31+AA31+AB31-(Tables!$B$22+IF(B31&gt;=Tables!$B$27,2*Tables!$B$23,0))))&gt;Tables!$A$31:$A$37)*((MAX(0,L31+AA31+AB31-(Tables!$B$22+IF(B31&gt;=Tables!$B$27,2*Tables!$B$23,0))))-Tables!$A$31:$A$37)*Tables!$C$31:$C$37)-O31</f>
        <v/>
      </c>
      <c r="AD31">
        <f>IF((L31+AC31)+0.5*H31&lt;=Tables!$B$24,0,IF((L31+AC31)+0.5*H31&lt;=Tables!$B$25,MIN(0.5*H31,0.5*((L31+AC31)+0.5*H31-Tables!$B$24)),MIN(0.85*H31,0.85*((L31+AC31)+0.5*H31-Tables!$B$25)+MIN(Tables!$B$26,0.5*H31))))</f>
        <v/>
      </c>
      <c r="AE31">
        <f>R31+SUMPRODUCT(((MAX(0,L31+AC31+AD31-(Tables!$B$22+IF(B31&gt;=Tables!$B$27,2*Tables!$B$23,0))))&gt;Tables!$A$31:$A$37)*((MAX(0,L31+AC31+AD31-(Tables!$B$22+IF(B31&gt;=Tables!$B$27,2*Tables!$B$23,0))))-Tables!$A$31:$A$37)*Tables!$C$31:$C$37)-O31</f>
        <v/>
      </c>
      <c r="AF31">
        <f>IF((L31+AE31)+0.5*H31&lt;=Tables!$B$24,0,IF((L31+AE31)+0.5*H31&lt;=Tables!$B$25,MIN(0.5*H31,0.5*((L31+AE31)+0.5*H31-Tables!$B$24)),MIN(0.85*H31,0.85*((L31+AE31)+0.5*H31-Tables!$B$25)+MIN(Tables!$B$26,0.5*H31))))</f>
        <v/>
      </c>
      <c r="AG31">
        <f>R31+SUMPRODUCT(((MAX(0,L31+AE31+AF31-(Tables!$B$22+IF(B31&gt;=Tables!$B$27,2*Tables!$B$23,0))))&gt;Tables!$A$31:$A$37)*((MAX(0,L31+AE31+AF31-(Tables!$B$22+IF(B31&gt;=Tables!$B$27,2*Tables!$B$23,0))))-Tables!$A$31:$A$37)*Tables!$C$31:$C$37)-O31</f>
        <v/>
      </c>
      <c r="AH31">
        <f>IF((L31+AG31)+0.5*H31&lt;=Tables!$B$24,0,IF((L31+AG31)+0.5*H31&lt;=Tables!$B$25,MIN(0.5*H31,0.5*((L31+AG31)+0.5*H31-Tables!$B$24)),MIN(0.85*H31,0.85*((L31+AG31)+0.5*H31-Tables!$B$25)+MIN(Tables!$B$26,0.5*H31))))</f>
        <v/>
      </c>
      <c r="AI31">
        <f>R31+SUMPRODUCT(((MAX(0,L31+AG31+AH31-(Tables!$B$22+IF(B31&gt;=Tables!$B$27,2*Tables!$B$23,0))))&gt;Tables!$A$31:$A$37)*((MAX(0,L31+AG31+AH31-(Tables!$B$22+IF(B31&gt;=Tables!$B$27,2*Tables!$B$23,0))))-Tables!$A$31:$A$37)*Tables!$C$31:$C$37)-O31</f>
        <v/>
      </c>
      <c r="AJ31">
        <f>IF((L31+AI31)+0.5*H31&lt;=Tables!$B$24,0,IF((L31+AI31)+0.5*H31&lt;=Tables!$B$25,MIN(0.5*H31,0.5*((L31+AI31)+0.5*H31-Tables!$B$24)),MIN(0.85*H31,0.85*((L31+AI31)+0.5*H31-Tables!$B$25)+MIN(Tables!$B$26,0.5*H31))))</f>
        <v/>
      </c>
      <c r="AK31">
        <f>R31+SUMPRODUCT(((MAX(0,L31+AI31+AJ31-(Tables!$B$22+IF(B31&gt;=Tables!$B$27,2*Tables!$B$23,0))))&gt;Tables!$A$31:$A$37)*((MAX(0,L31+AI31+AJ31-(Tables!$B$22+IF(B31&gt;=Tables!$B$27,2*Tables!$B$23,0))))-Tables!$A$31:$A$37)*Tables!$C$31:$C$37)-O31</f>
        <v/>
      </c>
      <c r="AL31">
        <f>IF((L31+AK31)+0.5*H31&lt;=Tables!$B$24,0,IF((L31+AK31)+0.5*H31&lt;=Tables!$B$25,MIN(0.5*H31,0.5*((L31+AK31)+0.5*H31-Tables!$B$24)),MIN(0.85*H31,0.85*((L31+AK31)+0.5*H31-Tables!$B$25)+MIN(Tables!$B$26,0.5*H31))))</f>
        <v/>
      </c>
      <c r="AM31">
        <f>R31+SUMPRODUCT(((MAX(0,L31+AK31+AL31-(Tables!$B$22+IF(B31&gt;=Tables!$B$27,2*Tables!$B$23,0))))&gt;Tables!$A$31:$A$37)*((MAX(0,L31+AK31+AL31-(Tables!$B$22+IF(B31&gt;=Tables!$B$27,2*Tables!$B$23,0))))-Tables!$A$31:$A$37)*Tables!$C$31:$C$37)-O31</f>
        <v/>
      </c>
      <c r="AN31">
        <f>IF((L31+AM31)+0.5*H31&lt;=Tables!$B$24,0,IF((L31+AM31)+0.5*H31&lt;=Tables!$B$25,MIN(0.5*H31,0.5*((L31+AM31)+0.5*H31-Tables!$B$24)),MIN(0.85*H31,0.85*((L31+AM31)+0.5*H31-Tables!$B$25)+MIN(Tables!$B$26,0.5*H31))))</f>
        <v/>
      </c>
      <c r="AO31">
        <f>R31+SUMPRODUCT(((MAX(0,L31+AM31+AN31-(Tables!$B$22+IF(B31&gt;=Tables!$B$27,2*Tables!$B$23,0))))&gt;Tables!$A$31:$A$37)*((MAX(0,L31+AM31+AN31-(Tables!$B$22+IF(B31&gt;=Tables!$B$27,2*Tables!$B$23,0))))-Tables!$A$31:$A$37)*Tables!$C$31:$C$37)-O31</f>
        <v/>
      </c>
      <c r="AP31">
        <f>IF((L31+AO31)+0.5*H31&lt;=Tables!$B$24,0,IF((L31+AO31)+0.5*H31&lt;=Tables!$B$25,MIN(0.5*H31,0.5*((L31+AO31)+0.5*H31-Tables!$B$24)),MIN(0.85*H31,0.85*((L31+AO31)+0.5*H31-Tables!$B$25)+MIN(Tables!$B$26,0.5*H31))))</f>
        <v/>
      </c>
      <c r="AQ31">
        <f>R31+SUMPRODUCT(((MAX(0,L31+AO31+AP31-(Tables!$B$22+IF(B31&gt;=Tables!$B$27,2*Tables!$B$23,0))))&gt;Tables!$A$31:$A$37)*((MAX(0,L31+AO31+AP31-(Tables!$B$22+IF(B31&gt;=Tables!$B$27,2*Tables!$B$23,0))))-Tables!$A$31:$A$37)*Tables!$C$31:$C$37)-O31</f>
        <v/>
      </c>
      <c r="AR31">
        <f>IF((L31+AQ31)+0.5*H31&lt;=Tables!$B$24,0,IF((L31+AQ31)+0.5*H31&lt;=Tables!$B$25,MIN(0.5*H31,0.5*((L31+AQ31)+0.5*H31-Tables!$B$24)),MIN(0.85*H31,0.85*((L31+AQ31)+0.5*H31-Tables!$B$25)+MIN(Tables!$B$26,0.5*H31))))</f>
        <v/>
      </c>
      <c r="AS31">
        <f>R31+SUMPRODUCT(((MAX(0,L31+AQ31+AR31-(Tables!$B$22+IF(B31&gt;=Tables!$B$27,2*Tables!$B$23,0))))&gt;Tables!$A$31:$A$37)*((MAX(0,L31+AQ31+AR31-(Tables!$B$22+IF(B31&gt;=Tables!$B$27,2*Tables!$B$23,0))))-Tables!$A$31:$A$37)*Tables!$C$31:$C$37)-O31</f>
        <v/>
      </c>
      <c r="AT31">
        <f>IF((L31+AS31)+0.5*H31&lt;=Tables!$B$24,0,IF((L31+AS31)+0.5*H31&lt;=Tables!$B$25,MIN(0.5*H31,0.5*((L31+AS31)+0.5*H31-Tables!$B$24)),MIN(0.85*H31,0.85*((L31+AS31)+0.5*H31-Tables!$B$25)+MIN(Tables!$B$26,0.5*H31))))</f>
        <v/>
      </c>
      <c r="AU31">
        <f>R31+SUMPRODUCT(((MAX(0,L31+AS31+AT31-(Tables!$B$22+IF(B31&gt;=Tables!$B$27,2*Tables!$B$23,0))))&gt;Tables!$A$31:$A$37)*((MAX(0,L31+AS31+AT31-(Tables!$B$22+IF(B31&gt;=Tables!$B$27,2*Tables!$B$23,0))))-Tables!$A$31:$A$37)*Tables!$C$31:$C$37)-O31</f>
        <v/>
      </c>
      <c r="AV31">
        <f>IF((L31+AU31)+0.5*H31&lt;=Tables!$B$24,0,IF((L31+AU31)+0.5*H31&lt;=Tables!$B$25,MIN(0.5*H31,0.5*((L31+AU31)+0.5*H31-Tables!$B$24)),MIN(0.85*H31,0.85*((L31+AU31)+0.5*H31-Tables!$B$25)+MIN(Tables!$B$26,0.5*H31))))</f>
        <v/>
      </c>
      <c r="AW31">
        <f>R31+SUMPRODUCT(((MAX(0,L31+AU31+AV31-(Tables!$B$22+IF(B31&gt;=Tables!$B$27,2*Tables!$B$23,0))))&gt;Tables!$A$31:$A$37)*((MAX(0,L31+AU31+AV31-(Tables!$B$22+IF(B31&gt;=Tables!$B$27,2*Tables!$B$23,0))))-Tables!$A$31:$A$37)*Tables!$C$31:$C$37)-O31</f>
        <v/>
      </c>
      <c r="AX31">
        <f>IF((L31+AW31)+0.5*H31&lt;=Tables!$B$24,0,IF((L31+AW31)+0.5*H31&lt;=Tables!$B$25,MIN(0.5*H31,0.5*((L31+AW31)+0.5*H31-Tables!$B$24)),MIN(0.85*H31,0.85*((L31+AW31)+0.5*H31-Tables!$B$25)+MIN(Tables!$B$26,0.5*H31))))</f>
        <v/>
      </c>
      <c r="AY31">
        <f>R31+SUMPRODUCT(((MAX(0,L31+AW31+AX31-(Tables!$B$22+IF(B31&gt;=Tables!$B$27,2*Tables!$B$23,0))))&gt;Tables!$A$31:$A$37)*((MAX(0,L31+AW31+AX31-(Tables!$B$22+IF(B31&gt;=Tables!$B$27,2*Tables!$B$23,0))))-Tables!$A$31:$A$37)*Tables!$C$31:$C$37)-O31</f>
        <v/>
      </c>
      <c r="AZ31">
        <f>IF((L31+AY31)+0.5*H31&lt;=Tables!$B$24,0,IF((L31+AY31)+0.5*H31&lt;=Tables!$B$25,MIN(0.5*H31,0.5*((L31+AY31)+0.5*H31-Tables!$B$24)),MIN(0.85*H31,0.85*((L31+AY31)+0.5*H31-Tables!$B$25)+MIN(Tables!$B$26,0.5*H31))))</f>
        <v/>
      </c>
      <c r="BA31">
        <f>R31+SUMPRODUCT(((MAX(0,L31+AY31+AZ31-(Tables!$B$22+IF(B31&gt;=Tables!$B$27,2*Tables!$B$23,0))))&gt;Tables!$A$31:$A$37)*((MAX(0,L31+AY31+AZ31-(Tables!$B$22+IF(B31&gt;=Tables!$B$27,2*Tables!$B$23,0))))-Tables!$A$31:$A$37)*Tables!$C$31:$C$37)-O31</f>
        <v/>
      </c>
      <c r="BB31">
        <f>IF((L31+BA31)+0.5*H31&lt;=Tables!$B$24,0,IF((L31+BA31)+0.5*H31&lt;=Tables!$B$25,MIN(0.5*H31,0.5*((L31+BA31)+0.5*H31-Tables!$B$24)),MIN(0.85*H31,0.85*((L31+BA31)+0.5*H31-Tables!$B$25)+MIN(Tables!$B$26,0.5*H31))))</f>
        <v/>
      </c>
      <c r="BC31">
        <f>R31+SUMPRODUCT(((MAX(0,L31+BA31+BB31-(Tables!$B$22+IF(B31&gt;=Tables!$B$27,2*Tables!$B$23,0))))&gt;Tables!$A$31:$A$37)*((MAX(0,L31+BA31+BB31-(Tables!$B$22+IF(B31&gt;=Tables!$B$27,2*Tables!$B$23,0))))-Tables!$A$31:$A$37)*Tables!$C$31:$C$37)-O31</f>
        <v/>
      </c>
      <c r="BD31">
        <f>IF((L31+BC31)+0.5*H31&lt;=Tables!$B$24,0,IF((L31+BC31)+0.5*H31&lt;=Tables!$B$25,MIN(0.5*H31,0.5*((L31+BC31)+0.5*H31-Tables!$B$24)),MIN(0.85*H31,0.85*((L31+BC31)+0.5*H31-Tables!$B$25)+MIN(Tables!$B$26,0.5*H31))))</f>
        <v/>
      </c>
      <c r="BE31">
        <f>R31+SUMPRODUCT(((MAX(0,L31+BC31+BD31-(Tables!$B$22+IF(B31&gt;=Tables!$B$27,2*Tables!$B$23,0))))&gt;Tables!$A$31:$A$37)*((MAX(0,L31+BC31+BD31-(Tables!$B$22+IF(B31&gt;=Tables!$B$27,2*Tables!$B$23,0))))-Tables!$A$31:$A$37)*Tables!$C$31:$C$37)-O31</f>
        <v/>
      </c>
      <c r="BF31">
        <f>IF((L31+BE31)+0.5*H31&lt;=Tables!$B$24,0,IF((L31+BE31)+0.5*H31&lt;=Tables!$B$25,MIN(0.5*H31,0.5*((L31+BE31)+0.5*H31-Tables!$B$24)),MIN(0.85*H31,0.85*((L31+BE31)+0.5*H31-Tables!$B$25)+MIN(Tables!$B$26,0.5*H31))))</f>
        <v/>
      </c>
      <c r="BG31">
        <f>R31+SUMPRODUCT(((MAX(0,L31+BE31+BF31-(Tables!$B$22+IF(B31&gt;=Tables!$B$27,2*Tables!$B$23,0))))&gt;Tables!$A$31:$A$37)*((MAX(0,L31+BE31+BF31-(Tables!$B$22+IF(B31&gt;=Tables!$B$27,2*Tables!$B$23,0))))-Tables!$A$31:$A$37)*Tables!$C$31:$C$37)-O31</f>
        <v/>
      </c>
      <c r="BH31">
        <f>IF((L31+BG31)+0.5*H31&lt;=Tables!$B$24,0,IF((L31+BG31)+0.5*H31&lt;=Tables!$B$25,MIN(0.5*H31,0.5*((L31+BG31)+0.5*H31-Tables!$B$24)),MIN(0.85*H31,0.85*((L31+BG31)+0.5*H31-Tables!$B$25)+MIN(Tables!$B$26,0.5*H31))))</f>
        <v/>
      </c>
      <c r="BI31">
        <f>R31+SUMPRODUCT(((MAX(0,L31+BG31+BH31-(Tables!$B$22+IF(B31&gt;=Tables!$B$27,2*Tables!$B$23,0))))&gt;Tables!$A$31:$A$37)*((MAX(0,L31+BG31+BH31-(Tables!$B$22+IF(B31&gt;=Tables!$B$27,2*Tables!$B$23,0))))-Tables!$A$31:$A$37)*Tables!$C$31:$C$37)-O31</f>
        <v/>
      </c>
      <c r="BJ31">
        <f>IF((L31+BI31)+0.5*H31&lt;=Tables!$B$24,0,IF((L31+BI31)+0.5*H31&lt;=Tables!$B$25,MIN(0.5*H31,0.5*((L31+BI31)+0.5*H31-Tables!$B$24)),MIN(0.85*H31,0.85*((L31+BI31)+0.5*H31-Tables!$B$25)+MIN(Tables!$B$26,0.5*H31))))</f>
        <v/>
      </c>
      <c r="BK31">
        <f>R31+SUMPRODUCT(((MAX(0,L31+BI31+BJ31-(Tables!$B$22+IF(B31&gt;=Tables!$B$27,2*Tables!$B$23,0))))&gt;Tables!$A$31:$A$37)*((MAX(0,L31+BI31+BJ31-(Tables!$B$22+IF(B31&gt;=Tables!$B$27,2*Tables!$B$23,0))))-Tables!$A$31:$A$37)*Tables!$C$31:$C$37)-O31</f>
        <v/>
      </c>
      <c r="BL31">
        <f>IF((L31+BK31)+0.5*H31&lt;=Tables!$B$24,0,IF((L31+BK31)+0.5*H31&lt;=Tables!$B$25,MIN(0.5*H31,0.5*((L31+BK31)+0.5*H31-Tables!$B$24)),MIN(0.85*H31,0.85*((L31+BK31)+0.5*H31-Tables!$B$25)+MIN(Tables!$B$26,0.5*H31))))</f>
        <v/>
      </c>
      <c r="BM31">
        <f>R31+SUMPRODUCT(((MAX(0,L31+BK31+BL31-(Tables!$B$22+IF(B31&gt;=Tables!$B$27,2*Tables!$B$23,0))))&gt;Tables!$A$31:$A$37)*((MAX(0,L31+BK31+BL31-(Tables!$B$22+IF(B31&gt;=Tables!$B$27,2*Tables!$B$23,0))))-Tables!$A$31:$A$37)*Tables!$C$31:$C$37)-O31</f>
        <v/>
      </c>
      <c r="BN31">
        <f>IF((L31+BM31)+0.5*H31&lt;=Tables!$B$24,0,IF((L31+BM31)+0.5*H31&lt;=Tables!$B$25,MIN(0.5*H31,0.5*((L31+BM31)+0.5*H31-Tables!$B$24)),MIN(0.85*H31,0.85*((L31+BM31)+0.5*H31-Tables!$B$25)+MIN(Tables!$B$26,0.5*H31))))</f>
        <v/>
      </c>
      <c r="BO31">
        <f>R31+SUMPRODUCT(((MAX(0,L31+BM31+BN31-(Tables!$B$22+IF(B31&gt;=Tables!$B$27,2*Tables!$B$23,0))))&gt;Tables!$A$31:$A$37)*((MAX(0,L31+BM31+BN31-(Tables!$B$22+IF(B31&gt;=Tables!$B$27,2*Tables!$B$23,0))))-Tables!$A$31:$A$37)*Tables!$C$31:$C$37)-O31</f>
        <v/>
      </c>
      <c r="BP31">
        <f>MIN(BO31,S31)</f>
        <v/>
      </c>
      <c r="BQ31">
        <f>L31+BP31</f>
        <v/>
      </c>
      <c r="BR31">
        <f>IF(BQ31+0.5*H31&lt;=Tables!$B$24,0,IF(BQ31+0.5*H31&lt;=Tables!$B$25,MIN(0.5*H31,0.5*(BQ31+0.5*H31-Tables!$B$24)),MIN(0.85*H31,0.85*(BQ31+0.5*H31-Tables!$B$25)+MIN(Tables!$B$26,0.5*H31))))</f>
        <v/>
      </c>
      <c r="BS31">
        <f>MAX(0,BQ31+BR31-(Tables!$B$22+IF(B31&gt;=Tables!$B$27,2*Tables!$B$23,0)))</f>
        <v/>
      </c>
      <c r="BT31">
        <f>SUMPRODUCT(((BS31)&gt;Tables!$A$31:$A$37)*((BS31)-Tables!$A$31:$A$37)*Tables!$C$31:$C$37)</f>
        <v/>
      </c>
      <c r="BU31">
        <f>MAX(0,G31-(H31+BQ31+Q31-BT31))</f>
        <v/>
      </c>
      <c r="BV31">
        <f>MIN(J31,BU31)</f>
        <v/>
      </c>
      <c r="BW31">
        <f>H31+BQ31+Q31+BV31</f>
        <v/>
      </c>
      <c r="BX31">
        <f>MAX(0,BW31-G31-BT31)</f>
        <v/>
      </c>
      <c r="BY31">
        <f>MAX(0,G31+BT31-BW31)</f>
        <v/>
      </c>
      <c r="BZ31">
        <f>IF(C31=0,0,MAX(0,I31-BQ31)*(1+D31))</f>
        <v/>
      </c>
      <c r="CA31">
        <f>IF(C31=0,0,MAX(0,J31-BV31)*(1+D31))</f>
        <v/>
      </c>
      <c r="CB31">
        <f>IF(C31=0,0,MAX(0,K31-Q31+BX31)*(1+D31))</f>
        <v/>
      </c>
      <c r="CC31">
        <f>IF(C31=0,CC30,BZ31+CA31+CB31)</f>
        <v/>
      </c>
      <c r="CD31">
        <f>IF(C31=0,9999,IF(OR(BY31&gt;0.0001,CC31&lt;=0.0001),B31,9999))</f>
        <v/>
      </c>
    </row>
    <row r="32">
      <c r="A32" t="n">
        <v>30</v>
      </c>
      <c r="B32">
        <f>Tables!$B$13+A32</f>
        <v/>
      </c>
      <c r="C32">
        <f>IF(B32&lt;=Tables!$B$18,1,0)</f>
        <v/>
      </c>
      <c r="D32">
        <f>INDEX(Tables!$B$83:$B$123,A32+1)</f>
        <v/>
      </c>
      <c r="E32">
        <f>IF(A32=0,0,INDEX(Tables!$B$83:$B$123,A32))</f>
        <v/>
      </c>
      <c r="F32">
        <f>IF(AND(C32=1,Tables!$B$17="YES",A32&gt;0,E32&lt;Tables!$B$16),Tables!$B$15,0)</f>
        <v/>
      </c>
      <c r="G32">
        <f>IF(C32=0,0,Tables!$B$8-IF(B32&gt;=Tables!$B$7,Tables!$B$6,0)+IF(B32&lt;Tables!$B$27,Tables!$B$9,Tables!$B$10)-F32)</f>
        <v/>
      </c>
      <c r="H32">
        <f>IF(C32=0,0,IF(B32&gt;=Tables!$B$78,Tables!$D$78,0)+IF(B32&gt;=Tables!$C$78,Tables!$E$78,0))</f>
        <v/>
      </c>
      <c r="I32">
        <f>IF(C32=0,0,BZ31)</f>
        <v/>
      </c>
      <c r="J32">
        <f>IF(C32=0,0,CA31)</f>
        <v/>
      </c>
      <c r="K32">
        <f>IF(C32=0,0,CB31)</f>
        <v/>
      </c>
      <c r="L32">
        <f>IF(C32=0,0,IF(B32&gt;=Tables!$B$19,MIN(I32,I32/VLOOKUP(B32,Tables!$A$41:$B$61,2,FALSE)),0))</f>
        <v/>
      </c>
      <c r="M32">
        <f>IF(L32+0.5*H32&lt;=Tables!$B$24,0,IF(L32+0.5*H32&lt;=Tables!$B$25,MIN(0.5*H32,0.5*(L32+0.5*H32-Tables!$B$24)),MIN(0.85*H32,0.85*(L32+0.5*H32-Tables!$B$25)+MIN(Tables!$B$26,0.5*H32))))</f>
        <v/>
      </c>
      <c r="N32">
        <f>MAX(0,L32+M32-(Tables!$B$22+IF(B32&gt;=Tables!$B$27,2*Tables!$B$23,0)))</f>
        <v/>
      </c>
      <c r="O32">
        <f>SUMPRODUCT(((N32)&gt;Tables!$A$31:$A$37)*((N32)-Tables!$A$31:$A$37)*Tables!$C$31:$C$37)</f>
        <v/>
      </c>
      <c r="P32">
        <f>G32-(H32+L32-O32)</f>
        <v/>
      </c>
      <c r="Q32">
        <f>MIN(K32,MAX(0,P32))</f>
        <v/>
      </c>
      <c r="R32">
        <f>MAX(0,P32-Q32)</f>
        <v/>
      </c>
      <c r="S32">
        <f>MAX(0,I32-L32)</f>
        <v/>
      </c>
      <c r="T32">
        <f>IF((L32+R32)+0.5*H32&lt;=Tables!$B$24,0,IF((L32+R32)+0.5*H32&lt;=Tables!$B$25,MIN(0.5*H32,0.5*((L32+R32)+0.5*H32-Tables!$B$24)),MIN(0.85*H32,0.85*((L32+R32)+0.5*H32-Tables!$B$25)+MIN(Tables!$B$26,0.5*H32))))</f>
        <v/>
      </c>
      <c r="U32">
        <f>R32+SUMPRODUCT(((MAX(0,L32+R32+T32-(Tables!$B$22+IF(B32&gt;=Tables!$B$27,2*Tables!$B$23,0))))&gt;Tables!$A$31:$A$37)*((MAX(0,L32+R32+T32-(Tables!$B$22+IF(B32&gt;=Tables!$B$27,2*Tables!$B$23,0))))-Tables!$A$31:$A$37)*Tables!$C$31:$C$37)-O32</f>
        <v/>
      </c>
      <c r="V32">
        <f>IF((L32+U32)+0.5*H32&lt;=Tables!$B$24,0,IF((L32+U32)+0.5*H32&lt;=Tables!$B$25,MIN(0.5*H32,0.5*((L32+U32)+0.5*H32-Tables!$B$24)),MIN(0.85*H32,0.85*((L32+U32)+0.5*H32-Tables!$B$25)+MIN(Tables!$B$26,0.5*H32))))</f>
        <v/>
      </c>
      <c r="W32">
        <f>R32+SUMPRODUCT(((MAX(0,L32+U32+V32-(Tables!$B$22+IF(B32&gt;=Tables!$B$27,2*Tables!$B$23,0))))&gt;Tables!$A$31:$A$37)*((MAX(0,L32+U32+V32-(Tables!$B$22+IF(B32&gt;=Tables!$B$27,2*Tables!$B$23,0))))-Tables!$A$31:$A$37)*Tables!$C$31:$C$37)-O32</f>
        <v/>
      </c>
      <c r="X32">
        <f>IF((L32+W32)+0.5*H32&lt;=Tables!$B$24,0,IF((L32+W32)+0.5*H32&lt;=Tables!$B$25,MIN(0.5*H32,0.5*((L32+W32)+0.5*H32-Tables!$B$24)),MIN(0.85*H32,0.85*((L32+W32)+0.5*H32-Tables!$B$25)+MIN(Tables!$B$26,0.5*H32))))</f>
        <v/>
      </c>
      <c r="Y32">
        <f>R32+SUMPRODUCT(((MAX(0,L32+W32+X32-(Tables!$B$22+IF(B32&gt;=Tables!$B$27,2*Tables!$B$23,0))))&gt;Tables!$A$31:$A$37)*((MAX(0,L32+W32+X32-(Tables!$B$22+IF(B32&gt;=Tables!$B$27,2*Tables!$B$23,0))))-Tables!$A$31:$A$37)*Tables!$C$31:$C$37)-O32</f>
        <v/>
      </c>
      <c r="Z32">
        <f>IF((L32+Y32)+0.5*H32&lt;=Tables!$B$24,0,IF((L32+Y32)+0.5*H32&lt;=Tables!$B$25,MIN(0.5*H32,0.5*((L32+Y32)+0.5*H32-Tables!$B$24)),MIN(0.85*H32,0.85*((L32+Y32)+0.5*H32-Tables!$B$25)+MIN(Tables!$B$26,0.5*H32))))</f>
        <v/>
      </c>
      <c r="AA32">
        <f>R32+SUMPRODUCT(((MAX(0,L32+Y32+Z32-(Tables!$B$22+IF(B32&gt;=Tables!$B$27,2*Tables!$B$23,0))))&gt;Tables!$A$31:$A$37)*((MAX(0,L32+Y32+Z32-(Tables!$B$22+IF(B32&gt;=Tables!$B$27,2*Tables!$B$23,0))))-Tables!$A$31:$A$37)*Tables!$C$31:$C$37)-O32</f>
        <v/>
      </c>
      <c r="AB32">
        <f>IF((L32+AA32)+0.5*H32&lt;=Tables!$B$24,0,IF((L32+AA32)+0.5*H32&lt;=Tables!$B$25,MIN(0.5*H32,0.5*((L32+AA32)+0.5*H32-Tables!$B$24)),MIN(0.85*H32,0.85*((L32+AA32)+0.5*H32-Tables!$B$25)+MIN(Tables!$B$26,0.5*H32))))</f>
        <v/>
      </c>
      <c r="AC32">
        <f>R32+SUMPRODUCT(((MAX(0,L32+AA32+AB32-(Tables!$B$22+IF(B32&gt;=Tables!$B$27,2*Tables!$B$23,0))))&gt;Tables!$A$31:$A$37)*((MAX(0,L32+AA32+AB32-(Tables!$B$22+IF(B32&gt;=Tables!$B$27,2*Tables!$B$23,0))))-Tables!$A$31:$A$37)*Tables!$C$31:$C$37)-O32</f>
        <v/>
      </c>
      <c r="AD32">
        <f>IF((L32+AC32)+0.5*H32&lt;=Tables!$B$24,0,IF((L32+AC32)+0.5*H32&lt;=Tables!$B$25,MIN(0.5*H32,0.5*((L32+AC32)+0.5*H32-Tables!$B$24)),MIN(0.85*H32,0.85*((L32+AC32)+0.5*H32-Tables!$B$25)+MIN(Tables!$B$26,0.5*H32))))</f>
        <v/>
      </c>
      <c r="AE32">
        <f>R32+SUMPRODUCT(((MAX(0,L32+AC32+AD32-(Tables!$B$22+IF(B32&gt;=Tables!$B$27,2*Tables!$B$23,0))))&gt;Tables!$A$31:$A$37)*((MAX(0,L32+AC32+AD32-(Tables!$B$22+IF(B32&gt;=Tables!$B$27,2*Tables!$B$23,0))))-Tables!$A$31:$A$37)*Tables!$C$31:$C$37)-O32</f>
        <v/>
      </c>
      <c r="AF32">
        <f>IF((L32+AE32)+0.5*H32&lt;=Tables!$B$24,0,IF((L32+AE32)+0.5*H32&lt;=Tables!$B$25,MIN(0.5*H32,0.5*((L32+AE32)+0.5*H32-Tables!$B$24)),MIN(0.85*H32,0.85*((L32+AE32)+0.5*H32-Tables!$B$25)+MIN(Tables!$B$26,0.5*H32))))</f>
        <v/>
      </c>
      <c r="AG32">
        <f>R32+SUMPRODUCT(((MAX(0,L32+AE32+AF32-(Tables!$B$22+IF(B32&gt;=Tables!$B$27,2*Tables!$B$23,0))))&gt;Tables!$A$31:$A$37)*((MAX(0,L32+AE32+AF32-(Tables!$B$22+IF(B32&gt;=Tables!$B$27,2*Tables!$B$23,0))))-Tables!$A$31:$A$37)*Tables!$C$31:$C$37)-O32</f>
        <v/>
      </c>
      <c r="AH32">
        <f>IF((L32+AG32)+0.5*H32&lt;=Tables!$B$24,0,IF((L32+AG32)+0.5*H32&lt;=Tables!$B$25,MIN(0.5*H32,0.5*((L32+AG32)+0.5*H32-Tables!$B$24)),MIN(0.85*H32,0.85*((L32+AG32)+0.5*H32-Tables!$B$25)+MIN(Tables!$B$26,0.5*H32))))</f>
        <v/>
      </c>
      <c r="AI32">
        <f>R32+SUMPRODUCT(((MAX(0,L32+AG32+AH32-(Tables!$B$22+IF(B32&gt;=Tables!$B$27,2*Tables!$B$23,0))))&gt;Tables!$A$31:$A$37)*((MAX(0,L32+AG32+AH32-(Tables!$B$22+IF(B32&gt;=Tables!$B$27,2*Tables!$B$23,0))))-Tables!$A$31:$A$37)*Tables!$C$31:$C$37)-O32</f>
        <v/>
      </c>
      <c r="AJ32">
        <f>IF((L32+AI32)+0.5*H32&lt;=Tables!$B$24,0,IF((L32+AI32)+0.5*H32&lt;=Tables!$B$25,MIN(0.5*H32,0.5*((L32+AI32)+0.5*H32-Tables!$B$24)),MIN(0.85*H32,0.85*((L32+AI32)+0.5*H32-Tables!$B$25)+MIN(Tables!$B$26,0.5*H32))))</f>
        <v/>
      </c>
      <c r="AK32">
        <f>R32+SUMPRODUCT(((MAX(0,L32+AI32+AJ32-(Tables!$B$22+IF(B32&gt;=Tables!$B$27,2*Tables!$B$23,0))))&gt;Tables!$A$31:$A$37)*((MAX(0,L32+AI32+AJ32-(Tables!$B$22+IF(B32&gt;=Tables!$B$27,2*Tables!$B$23,0))))-Tables!$A$31:$A$37)*Tables!$C$31:$C$37)-O32</f>
        <v/>
      </c>
      <c r="AL32">
        <f>IF((L32+AK32)+0.5*H32&lt;=Tables!$B$24,0,IF((L32+AK32)+0.5*H32&lt;=Tables!$B$25,MIN(0.5*H32,0.5*((L32+AK32)+0.5*H32-Tables!$B$24)),MIN(0.85*H32,0.85*((L32+AK32)+0.5*H32-Tables!$B$25)+MIN(Tables!$B$26,0.5*H32))))</f>
        <v/>
      </c>
      <c r="AM32">
        <f>R32+SUMPRODUCT(((MAX(0,L32+AK32+AL32-(Tables!$B$22+IF(B32&gt;=Tables!$B$27,2*Tables!$B$23,0))))&gt;Tables!$A$31:$A$37)*((MAX(0,L32+AK32+AL32-(Tables!$B$22+IF(B32&gt;=Tables!$B$27,2*Tables!$B$23,0))))-Tables!$A$31:$A$37)*Tables!$C$31:$C$37)-O32</f>
        <v/>
      </c>
      <c r="AN32">
        <f>IF((L32+AM32)+0.5*H32&lt;=Tables!$B$24,0,IF((L32+AM32)+0.5*H32&lt;=Tables!$B$25,MIN(0.5*H32,0.5*((L32+AM32)+0.5*H32-Tables!$B$24)),MIN(0.85*H32,0.85*((L32+AM32)+0.5*H32-Tables!$B$25)+MIN(Tables!$B$26,0.5*H32))))</f>
        <v/>
      </c>
      <c r="AO32">
        <f>R32+SUMPRODUCT(((MAX(0,L32+AM32+AN32-(Tables!$B$22+IF(B32&gt;=Tables!$B$27,2*Tables!$B$23,0))))&gt;Tables!$A$31:$A$37)*((MAX(0,L32+AM32+AN32-(Tables!$B$22+IF(B32&gt;=Tables!$B$27,2*Tables!$B$23,0))))-Tables!$A$31:$A$37)*Tables!$C$31:$C$37)-O32</f>
        <v/>
      </c>
      <c r="AP32">
        <f>IF((L32+AO32)+0.5*H32&lt;=Tables!$B$24,0,IF((L32+AO32)+0.5*H32&lt;=Tables!$B$25,MIN(0.5*H32,0.5*((L32+AO32)+0.5*H32-Tables!$B$24)),MIN(0.85*H32,0.85*((L32+AO32)+0.5*H32-Tables!$B$25)+MIN(Tables!$B$26,0.5*H32))))</f>
        <v/>
      </c>
      <c r="AQ32">
        <f>R32+SUMPRODUCT(((MAX(0,L32+AO32+AP32-(Tables!$B$22+IF(B32&gt;=Tables!$B$27,2*Tables!$B$23,0))))&gt;Tables!$A$31:$A$37)*((MAX(0,L32+AO32+AP32-(Tables!$B$22+IF(B32&gt;=Tables!$B$27,2*Tables!$B$23,0))))-Tables!$A$31:$A$37)*Tables!$C$31:$C$37)-O32</f>
        <v/>
      </c>
      <c r="AR32">
        <f>IF((L32+AQ32)+0.5*H32&lt;=Tables!$B$24,0,IF((L32+AQ32)+0.5*H32&lt;=Tables!$B$25,MIN(0.5*H32,0.5*((L32+AQ32)+0.5*H32-Tables!$B$24)),MIN(0.85*H32,0.85*((L32+AQ32)+0.5*H32-Tables!$B$25)+MIN(Tables!$B$26,0.5*H32))))</f>
        <v/>
      </c>
      <c r="AS32">
        <f>R32+SUMPRODUCT(((MAX(0,L32+AQ32+AR32-(Tables!$B$22+IF(B32&gt;=Tables!$B$27,2*Tables!$B$23,0))))&gt;Tables!$A$31:$A$37)*((MAX(0,L32+AQ32+AR32-(Tables!$B$22+IF(B32&gt;=Tables!$B$27,2*Tables!$B$23,0))))-Tables!$A$31:$A$37)*Tables!$C$31:$C$37)-O32</f>
        <v/>
      </c>
      <c r="AT32">
        <f>IF((L32+AS32)+0.5*H32&lt;=Tables!$B$24,0,IF((L32+AS32)+0.5*H32&lt;=Tables!$B$25,MIN(0.5*H32,0.5*((L32+AS32)+0.5*H32-Tables!$B$24)),MIN(0.85*H32,0.85*((L32+AS32)+0.5*H32-Tables!$B$25)+MIN(Tables!$B$26,0.5*H32))))</f>
        <v/>
      </c>
      <c r="AU32">
        <f>R32+SUMPRODUCT(((MAX(0,L32+AS32+AT32-(Tables!$B$22+IF(B32&gt;=Tables!$B$27,2*Tables!$B$23,0))))&gt;Tables!$A$31:$A$37)*((MAX(0,L32+AS32+AT32-(Tables!$B$22+IF(B32&gt;=Tables!$B$27,2*Tables!$B$23,0))))-Tables!$A$31:$A$37)*Tables!$C$31:$C$37)-O32</f>
        <v/>
      </c>
      <c r="AV32">
        <f>IF((L32+AU32)+0.5*H32&lt;=Tables!$B$24,0,IF((L32+AU32)+0.5*H32&lt;=Tables!$B$25,MIN(0.5*H32,0.5*((L32+AU32)+0.5*H32-Tables!$B$24)),MIN(0.85*H32,0.85*((L32+AU32)+0.5*H32-Tables!$B$25)+MIN(Tables!$B$26,0.5*H32))))</f>
        <v/>
      </c>
      <c r="AW32">
        <f>R32+SUMPRODUCT(((MAX(0,L32+AU32+AV32-(Tables!$B$22+IF(B32&gt;=Tables!$B$27,2*Tables!$B$23,0))))&gt;Tables!$A$31:$A$37)*((MAX(0,L32+AU32+AV32-(Tables!$B$22+IF(B32&gt;=Tables!$B$27,2*Tables!$B$23,0))))-Tables!$A$31:$A$37)*Tables!$C$31:$C$37)-O32</f>
        <v/>
      </c>
      <c r="AX32">
        <f>IF((L32+AW32)+0.5*H32&lt;=Tables!$B$24,0,IF((L32+AW32)+0.5*H32&lt;=Tables!$B$25,MIN(0.5*H32,0.5*((L32+AW32)+0.5*H32-Tables!$B$24)),MIN(0.85*H32,0.85*((L32+AW32)+0.5*H32-Tables!$B$25)+MIN(Tables!$B$26,0.5*H32))))</f>
        <v/>
      </c>
      <c r="AY32">
        <f>R32+SUMPRODUCT(((MAX(0,L32+AW32+AX32-(Tables!$B$22+IF(B32&gt;=Tables!$B$27,2*Tables!$B$23,0))))&gt;Tables!$A$31:$A$37)*((MAX(0,L32+AW32+AX32-(Tables!$B$22+IF(B32&gt;=Tables!$B$27,2*Tables!$B$23,0))))-Tables!$A$31:$A$37)*Tables!$C$31:$C$37)-O32</f>
        <v/>
      </c>
      <c r="AZ32">
        <f>IF((L32+AY32)+0.5*H32&lt;=Tables!$B$24,0,IF((L32+AY32)+0.5*H32&lt;=Tables!$B$25,MIN(0.5*H32,0.5*((L32+AY32)+0.5*H32-Tables!$B$24)),MIN(0.85*H32,0.85*((L32+AY32)+0.5*H32-Tables!$B$25)+MIN(Tables!$B$26,0.5*H32))))</f>
        <v/>
      </c>
      <c r="BA32">
        <f>R32+SUMPRODUCT(((MAX(0,L32+AY32+AZ32-(Tables!$B$22+IF(B32&gt;=Tables!$B$27,2*Tables!$B$23,0))))&gt;Tables!$A$31:$A$37)*((MAX(0,L32+AY32+AZ32-(Tables!$B$22+IF(B32&gt;=Tables!$B$27,2*Tables!$B$23,0))))-Tables!$A$31:$A$37)*Tables!$C$31:$C$37)-O32</f>
        <v/>
      </c>
      <c r="BB32">
        <f>IF((L32+BA32)+0.5*H32&lt;=Tables!$B$24,0,IF((L32+BA32)+0.5*H32&lt;=Tables!$B$25,MIN(0.5*H32,0.5*((L32+BA32)+0.5*H32-Tables!$B$24)),MIN(0.85*H32,0.85*((L32+BA32)+0.5*H32-Tables!$B$25)+MIN(Tables!$B$26,0.5*H32))))</f>
        <v/>
      </c>
      <c r="BC32">
        <f>R32+SUMPRODUCT(((MAX(0,L32+BA32+BB32-(Tables!$B$22+IF(B32&gt;=Tables!$B$27,2*Tables!$B$23,0))))&gt;Tables!$A$31:$A$37)*((MAX(0,L32+BA32+BB32-(Tables!$B$22+IF(B32&gt;=Tables!$B$27,2*Tables!$B$23,0))))-Tables!$A$31:$A$37)*Tables!$C$31:$C$37)-O32</f>
        <v/>
      </c>
      <c r="BD32">
        <f>IF((L32+BC32)+0.5*H32&lt;=Tables!$B$24,0,IF((L32+BC32)+0.5*H32&lt;=Tables!$B$25,MIN(0.5*H32,0.5*((L32+BC32)+0.5*H32-Tables!$B$24)),MIN(0.85*H32,0.85*((L32+BC32)+0.5*H32-Tables!$B$25)+MIN(Tables!$B$26,0.5*H32))))</f>
        <v/>
      </c>
      <c r="BE32">
        <f>R32+SUMPRODUCT(((MAX(0,L32+BC32+BD32-(Tables!$B$22+IF(B32&gt;=Tables!$B$27,2*Tables!$B$23,0))))&gt;Tables!$A$31:$A$37)*((MAX(0,L32+BC32+BD32-(Tables!$B$22+IF(B32&gt;=Tables!$B$27,2*Tables!$B$23,0))))-Tables!$A$31:$A$37)*Tables!$C$31:$C$37)-O32</f>
        <v/>
      </c>
      <c r="BF32">
        <f>IF((L32+BE32)+0.5*H32&lt;=Tables!$B$24,0,IF((L32+BE32)+0.5*H32&lt;=Tables!$B$25,MIN(0.5*H32,0.5*((L32+BE32)+0.5*H32-Tables!$B$24)),MIN(0.85*H32,0.85*((L32+BE32)+0.5*H32-Tables!$B$25)+MIN(Tables!$B$26,0.5*H32))))</f>
        <v/>
      </c>
      <c r="BG32">
        <f>R32+SUMPRODUCT(((MAX(0,L32+BE32+BF32-(Tables!$B$22+IF(B32&gt;=Tables!$B$27,2*Tables!$B$23,0))))&gt;Tables!$A$31:$A$37)*((MAX(0,L32+BE32+BF32-(Tables!$B$22+IF(B32&gt;=Tables!$B$27,2*Tables!$B$23,0))))-Tables!$A$31:$A$37)*Tables!$C$31:$C$37)-O32</f>
        <v/>
      </c>
      <c r="BH32">
        <f>IF((L32+BG32)+0.5*H32&lt;=Tables!$B$24,0,IF((L32+BG32)+0.5*H32&lt;=Tables!$B$25,MIN(0.5*H32,0.5*((L32+BG32)+0.5*H32-Tables!$B$24)),MIN(0.85*H32,0.85*((L32+BG32)+0.5*H32-Tables!$B$25)+MIN(Tables!$B$26,0.5*H32))))</f>
        <v/>
      </c>
      <c r="BI32">
        <f>R32+SUMPRODUCT(((MAX(0,L32+BG32+BH32-(Tables!$B$22+IF(B32&gt;=Tables!$B$27,2*Tables!$B$23,0))))&gt;Tables!$A$31:$A$37)*((MAX(0,L32+BG32+BH32-(Tables!$B$22+IF(B32&gt;=Tables!$B$27,2*Tables!$B$23,0))))-Tables!$A$31:$A$37)*Tables!$C$31:$C$37)-O32</f>
        <v/>
      </c>
      <c r="BJ32">
        <f>IF((L32+BI32)+0.5*H32&lt;=Tables!$B$24,0,IF((L32+BI32)+0.5*H32&lt;=Tables!$B$25,MIN(0.5*H32,0.5*((L32+BI32)+0.5*H32-Tables!$B$24)),MIN(0.85*H32,0.85*((L32+BI32)+0.5*H32-Tables!$B$25)+MIN(Tables!$B$26,0.5*H32))))</f>
        <v/>
      </c>
      <c r="BK32">
        <f>R32+SUMPRODUCT(((MAX(0,L32+BI32+BJ32-(Tables!$B$22+IF(B32&gt;=Tables!$B$27,2*Tables!$B$23,0))))&gt;Tables!$A$31:$A$37)*((MAX(0,L32+BI32+BJ32-(Tables!$B$22+IF(B32&gt;=Tables!$B$27,2*Tables!$B$23,0))))-Tables!$A$31:$A$37)*Tables!$C$31:$C$37)-O32</f>
        <v/>
      </c>
      <c r="BL32">
        <f>IF((L32+BK32)+0.5*H32&lt;=Tables!$B$24,0,IF((L32+BK32)+0.5*H32&lt;=Tables!$B$25,MIN(0.5*H32,0.5*((L32+BK32)+0.5*H32-Tables!$B$24)),MIN(0.85*H32,0.85*((L32+BK32)+0.5*H32-Tables!$B$25)+MIN(Tables!$B$26,0.5*H32))))</f>
        <v/>
      </c>
      <c r="BM32">
        <f>R32+SUMPRODUCT(((MAX(0,L32+BK32+BL32-(Tables!$B$22+IF(B32&gt;=Tables!$B$27,2*Tables!$B$23,0))))&gt;Tables!$A$31:$A$37)*((MAX(0,L32+BK32+BL32-(Tables!$B$22+IF(B32&gt;=Tables!$B$27,2*Tables!$B$23,0))))-Tables!$A$31:$A$37)*Tables!$C$31:$C$37)-O32</f>
        <v/>
      </c>
      <c r="BN32">
        <f>IF((L32+BM32)+0.5*H32&lt;=Tables!$B$24,0,IF((L32+BM32)+0.5*H32&lt;=Tables!$B$25,MIN(0.5*H32,0.5*((L32+BM32)+0.5*H32-Tables!$B$24)),MIN(0.85*H32,0.85*((L32+BM32)+0.5*H32-Tables!$B$25)+MIN(Tables!$B$26,0.5*H32))))</f>
        <v/>
      </c>
      <c r="BO32">
        <f>R32+SUMPRODUCT(((MAX(0,L32+BM32+BN32-(Tables!$B$22+IF(B32&gt;=Tables!$B$27,2*Tables!$B$23,0))))&gt;Tables!$A$31:$A$37)*((MAX(0,L32+BM32+BN32-(Tables!$B$22+IF(B32&gt;=Tables!$B$27,2*Tables!$B$23,0))))-Tables!$A$31:$A$37)*Tables!$C$31:$C$37)-O32</f>
        <v/>
      </c>
      <c r="BP32">
        <f>MIN(BO32,S32)</f>
        <v/>
      </c>
      <c r="BQ32">
        <f>L32+BP32</f>
        <v/>
      </c>
      <c r="BR32">
        <f>IF(BQ32+0.5*H32&lt;=Tables!$B$24,0,IF(BQ32+0.5*H32&lt;=Tables!$B$25,MIN(0.5*H32,0.5*(BQ32+0.5*H32-Tables!$B$24)),MIN(0.85*H32,0.85*(BQ32+0.5*H32-Tables!$B$25)+MIN(Tables!$B$26,0.5*H32))))</f>
        <v/>
      </c>
      <c r="BS32">
        <f>MAX(0,BQ32+BR32-(Tables!$B$22+IF(B32&gt;=Tables!$B$27,2*Tables!$B$23,0)))</f>
        <v/>
      </c>
      <c r="BT32">
        <f>SUMPRODUCT(((BS32)&gt;Tables!$A$31:$A$37)*((BS32)-Tables!$A$31:$A$37)*Tables!$C$31:$C$37)</f>
        <v/>
      </c>
      <c r="BU32">
        <f>MAX(0,G32-(H32+BQ32+Q32-BT32))</f>
        <v/>
      </c>
      <c r="BV32">
        <f>MIN(J32,BU32)</f>
        <v/>
      </c>
      <c r="BW32">
        <f>H32+BQ32+Q32+BV32</f>
        <v/>
      </c>
      <c r="BX32">
        <f>MAX(0,BW32-G32-BT32)</f>
        <v/>
      </c>
      <c r="BY32">
        <f>MAX(0,G32+BT32-BW32)</f>
        <v/>
      </c>
      <c r="BZ32">
        <f>IF(C32=0,0,MAX(0,I32-BQ32)*(1+D32))</f>
        <v/>
      </c>
      <c r="CA32">
        <f>IF(C32=0,0,MAX(0,J32-BV32)*(1+D32))</f>
        <v/>
      </c>
      <c r="CB32">
        <f>IF(C32=0,0,MAX(0,K32-Q32+BX32)*(1+D32))</f>
        <v/>
      </c>
      <c r="CC32">
        <f>IF(C32=0,CC31,BZ32+CA32+CB32)</f>
        <v/>
      </c>
      <c r="CD32">
        <f>IF(C32=0,9999,IF(OR(BY32&gt;0.0001,CC32&lt;=0.0001),B32,9999))</f>
        <v/>
      </c>
    </row>
    <row r="33">
      <c r="A33" t="n">
        <v>31</v>
      </c>
      <c r="B33">
        <f>Tables!$B$13+A33</f>
        <v/>
      </c>
      <c r="C33">
        <f>IF(B33&lt;=Tables!$B$18,1,0)</f>
        <v/>
      </c>
      <c r="D33">
        <f>INDEX(Tables!$B$83:$B$123,A33+1)</f>
        <v/>
      </c>
      <c r="E33">
        <f>IF(A33=0,0,INDEX(Tables!$B$83:$B$123,A33))</f>
        <v/>
      </c>
      <c r="F33">
        <f>IF(AND(C33=1,Tables!$B$17="YES",A33&gt;0,E33&lt;Tables!$B$16),Tables!$B$15,0)</f>
        <v/>
      </c>
      <c r="G33">
        <f>IF(C33=0,0,Tables!$B$8-IF(B33&gt;=Tables!$B$7,Tables!$B$6,0)+IF(B33&lt;Tables!$B$27,Tables!$B$9,Tables!$B$10)-F33)</f>
        <v/>
      </c>
      <c r="H33">
        <f>IF(C33=0,0,IF(B33&gt;=Tables!$B$78,Tables!$D$78,0)+IF(B33&gt;=Tables!$C$78,Tables!$E$78,0))</f>
        <v/>
      </c>
      <c r="I33">
        <f>IF(C33=0,0,BZ32)</f>
        <v/>
      </c>
      <c r="J33">
        <f>IF(C33=0,0,CA32)</f>
        <v/>
      </c>
      <c r="K33">
        <f>IF(C33=0,0,CB32)</f>
        <v/>
      </c>
      <c r="L33">
        <f>IF(C33=0,0,IF(B33&gt;=Tables!$B$19,MIN(I33,I33/VLOOKUP(B33,Tables!$A$41:$B$61,2,FALSE)),0))</f>
        <v/>
      </c>
      <c r="M33">
        <f>IF(L33+0.5*H33&lt;=Tables!$B$24,0,IF(L33+0.5*H33&lt;=Tables!$B$25,MIN(0.5*H33,0.5*(L33+0.5*H33-Tables!$B$24)),MIN(0.85*H33,0.85*(L33+0.5*H33-Tables!$B$25)+MIN(Tables!$B$26,0.5*H33))))</f>
        <v/>
      </c>
      <c r="N33">
        <f>MAX(0,L33+M33-(Tables!$B$22+IF(B33&gt;=Tables!$B$27,2*Tables!$B$23,0)))</f>
        <v/>
      </c>
      <c r="O33">
        <f>SUMPRODUCT(((N33)&gt;Tables!$A$31:$A$37)*((N33)-Tables!$A$31:$A$37)*Tables!$C$31:$C$37)</f>
        <v/>
      </c>
      <c r="P33">
        <f>G33-(H33+L33-O33)</f>
        <v/>
      </c>
      <c r="Q33">
        <f>MIN(K33,MAX(0,P33))</f>
        <v/>
      </c>
      <c r="R33">
        <f>MAX(0,P33-Q33)</f>
        <v/>
      </c>
      <c r="S33">
        <f>MAX(0,I33-L33)</f>
        <v/>
      </c>
      <c r="T33">
        <f>IF((L33+R33)+0.5*H33&lt;=Tables!$B$24,0,IF((L33+R33)+0.5*H33&lt;=Tables!$B$25,MIN(0.5*H33,0.5*((L33+R33)+0.5*H33-Tables!$B$24)),MIN(0.85*H33,0.85*((L33+R33)+0.5*H33-Tables!$B$25)+MIN(Tables!$B$26,0.5*H33))))</f>
        <v/>
      </c>
      <c r="U33">
        <f>R33+SUMPRODUCT(((MAX(0,L33+R33+T33-(Tables!$B$22+IF(B33&gt;=Tables!$B$27,2*Tables!$B$23,0))))&gt;Tables!$A$31:$A$37)*((MAX(0,L33+R33+T33-(Tables!$B$22+IF(B33&gt;=Tables!$B$27,2*Tables!$B$23,0))))-Tables!$A$31:$A$37)*Tables!$C$31:$C$37)-O33</f>
        <v/>
      </c>
      <c r="V33">
        <f>IF((L33+U33)+0.5*H33&lt;=Tables!$B$24,0,IF((L33+U33)+0.5*H33&lt;=Tables!$B$25,MIN(0.5*H33,0.5*((L33+U33)+0.5*H33-Tables!$B$24)),MIN(0.85*H33,0.85*((L33+U33)+0.5*H33-Tables!$B$25)+MIN(Tables!$B$26,0.5*H33))))</f>
        <v/>
      </c>
      <c r="W33">
        <f>R33+SUMPRODUCT(((MAX(0,L33+U33+V33-(Tables!$B$22+IF(B33&gt;=Tables!$B$27,2*Tables!$B$23,0))))&gt;Tables!$A$31:$A$37)*((MAX(0,L33+U33+V33-(Tables!$B$22+IF(B33&gt;=Tables!$B$27,2*Tables!$B$23,0))))-Tables!$A$31:$A$37)*Tables!$C$31:$C$37)-O33</f>
        <v/>
      </c>
      <c r="X33">
        <f>IF((L33+W33)+0.5*H33&lt;=Tables!$B$24,0,IF((L33+W33)+0.5*H33&lt;=Tables!$B$25,MIN(0.5*H33,0.5*((L33+W33)+0.5*H33-Tables!$B$24)),MIN(0.85*H33,0.85*((L33+W33)+0.5*H33-Tables!$B$25)+MIN(Tables!$B$26,0.5*H33))))</f>
        <v/>
      </c>
      <c r="Y33">
        <f>R33+SUMPRODUCT(((MAX(0,L33+W33+X33-(Tables!$B$22+IF(B33&gt;=Tables!$B$27,2*Tables!$B$23,0))))&gt;Tables!$A$31:$A$37)*((MAX(0,L33+W33+X33-(Tables!$B$22+IF(B33&gt;=Tables!$B$27,2*Tables!$B$23,0))))-Tables!$A$31:$A$37)*Tables!$C$31:$C$37)-O33</f>
        <v/>
      </c>
      <c r="Z33">
        <f>IF((L33+Y33)+0.5*H33&lt;=Tables!$B$24,0,IF((L33+Y33)+0.5*H33&lt;=Tables!$B$25,MIN(0.5*H33,0.5*((L33+Y33)+0.5*H33-Tables!$B$24)),MIN(0.85*H33,0.85*((L33+Y33)+0.5*H33-Tables!$B$25)+MIN(Tables!$B$26,0.5*H33))))</f>
        <v/>
      </c>
      <c r="AA33">
        <f>R33+SUMPRODUCT(((MAX(0,L33+Y33+Z33-(Tables!$B$22+IF(B33&gt;=Tables!$B$27,2*Tables!$B$23,0))))&gt;Tables!$A$31:$A$37)*((MAX(0,L33+Y33+Z33-(Tables!$B$22+IF(B33&gt;=Tables!$B$27,2*Tables!$B$23,0))))-Tables!$A$31:$A$37)*Tables!$C$31:$C$37)-O33</f>
        <v/>
      </c>
      <c r="AB33">
        <f>IF((L33+AA33)+0.5*H33&lt;=Tables!$B$24,0,IF((L33+AA33)+0.5*H33&lt;=Tables!$B$25,MIN(0.5*H33,0.5*((L33+AA33)+0.5*H33-Tables!$B$24)),MIN(0.85*H33,0.85*((L33+AA33)+0.5*H33-Tables!$B$25)+MIN(Tables!$B$26,0.5*H33))))</f>
        <v/>
      </c>
      <c r="AC33">
        <f>R33+SUMPRODUCT(((MAX(0,L33+AA33+AB33-(Tables!$B$22+IF(B33&gt;=Tables!$B$27,2*Tables!$B$23,0))))&gt;Tables!$A$31:$A$37)*((MAX(0,L33+AA33+AB33-(Tables!$B$22+IF(B33&gt;=Tables!$B$27,2*Tables!$B$23,0))))-Tables!$A$31:$A$37)*Tables!$C$31:$C$37)-O33</f>
        <v/>
      </c>
      <c r="AD33">
        <f>IF((L33+AC33)+0.5*H33&lt;=Tables!$B$24,0,IF((L33+AC33)+0.5*H33&lt;=Tables!$B$25,MIN(0.5*H33,0.5*((L33+AC33)+0.5*H33-Tables!$B$24)),MIN(0.85*H33,0.85*((L33+AC33)+0.5*H33-Tables!$B$25)+MIN(Tables!$B$26,0.5*H33))))</f>
        <v/>
      </c>
      <c r="AE33">
        <f>R33+SUMPRODUCT(((MAX(0,L33+AC33+AD33-(Tables!$B$22+IF(B33&gt;=Tables!$B$27,2*Tables!$B$23,0))))&gt;Tables!$A$31:$A$37)*((MAX(0,L33+AC33+AD33-(Tables!$B$22+IF(B33&gt;=Tables!$B$27,2*Tables!$B$23,0))))-Tables!$A$31:$A$37)*Tables!$C$31:$C$37)-O33</f>
        <v/>
      </c>
      <c r="AF33">
        <f>IF((L33+AE33)+0.5*H33&lt;=Tables!$B$24,0,IF((L33+AE33)+0.5*H33&lt;=Tables!$B$25,MIN(0.5*H33,0.5*((L33+AE33)+0.5*H33-Tables!$B$24)),MIN(0.85*H33,0.85*((L33+AE33)+0.5*H33-Tables!$B$25)+MIN(Tables!$B$26,0.5*H33))))</f>
        <v/>
      </c>
      <c r="AG33">
        <f>R33+SUMPRODUCT(((MAX(0,L33+AE33+AF33-(Tables!$B$22+IF(B33&gt;=Tables!$B$27,2*Tables!$B$23,0))))&gt;Tables!$A$31:$A$37)*((MAX(0,L33+AE33+AF33-(Tables!$B$22+IF(B33&gt;=Tables!$B$27,2*Tables!$B$23,0))))-Tables!$A$31:$A$37)*Tables!$C$31:$C$37)-O33</f>
        <v/>
      </c>
      <c r="AH33">
        <f>IF((L33+AG33)+0.5*H33&lt;=Tables!$B$24,0,IF((L33+AG33)+0.5*H33&lt;=Tables!$B$25,MIN(0.5*H33,0.5*((L33+AG33)+0.5*H33-Tables!$B$24)),MIN(0.85*H33,0.85*((L33+AG33)+0.5*H33-Tables!$B$25)+MIN(Tables!$B$26,0.5*H33))))</f>
        <v/>
      </c>
      <c r="AI33">
        <f>R33+SUMPRODUCT(((MAX(0,L33+AG33+AH33-(Tables!$B$22+IF(B33&gt;=Tables!$B$27,2*Tables!$B$23,0))))&gt;Tables!$A$31:$A$37)*((MAX(0,L33+AG33+AH33-(Tables!$B$22+IF(B33&gt;=Tables!$B$27,2*Tables!$B$23,0))))-Tables!$A$31:$A$37)*Tables!$C$31:$C$37)-O33</f>
        <v/>
      </c>
      <c r="AJ33">
        <f>IF((L33+AI33)+0.5*H33&lt;=Tables!$B$24,0,IF((L33+AI33)+0.5*H33&lt;=Tables!$B$25,MIN(0.5*H33,0.5*((L33+AI33)+0.5*H33-Tables!$B$24)),MIN(0.85*H33,0.85*((L33+AI33)+0.5*H33-Tables!$B$25)+MIN(Tables!$B$26,0.5*H33))))</f>
        <v/>
      </c>
      <c r="AK33">
        <f>R33+SUMPRODUCT(((MAX(0,L33+AI33+AJ33-(Tables!$B$22+IF(B33&gt;=Tables!$B$27,2*Tables!$B$23,0))))&gt;Tables!$A$31:$A$37)*((MAX(0,L33+AI33+AJ33-(Tables!$B$22+IF(B33&gt;=Tables!$B$27,2*Tables!$B$23,0))))-Tables!$A$31:$A$37)*Tables!$C$31:$C$37)-O33</f>
        <v/>
      </c>
      <c r="AL33">
        <f>IF((L33+AK33)+0.5*H33&lt;=Tables!$B$24,0,IF((L33+AK33)+0.5*H33&lt;=Tables!$B$25,MIN(0.5*H33,0.5*((L33+AK33)+0.5*H33-Tables!$B$24)),MIN(0.85*H33,0.85*((L33+AK33)+0.5*H33-Tables!$B$25)+MIN(Tables!$B$26,0.5*H33))))</f>
        <v/>
      </c>
      <c r="AM33">
        <f>R33+SUMPRODUCT(((MAX(0,L33+AK33+AL33-(Tables!$B$22+IF(B33&gt;=Tables!$B$27,2*Tables!$B$23,0))))&gt;Tables!$A$31:$A$37)*((MAX(0,L33+AK33+AL33-(Tables!$B$22+IF(B33&gt;=Tables!$B$27,2*Tables!$B$23,0))))-Tables!$A$31:$A$37)*Tables!$C$31:$C$37)-O33</f>
        <v/>
      </c>
      <c r="AN33">
        <f>IF((L33+AM33)+0.5*H33&lt;=Tables!$B$24,0,IF((L33+AM33)+0.5*H33&lt;=Tables!$B$25,MIN(0.5*H33,0.5*((L33+AM33)+0.5*H33-Tables!$B$24)),MIN(0.85*H33,0.85*((L33+AM33)+0.5*H33-Tables!$B$25)+MIN(Tables!$B$26,0.5*H33))))</f>
        <v/>
      </c>
      <c r="AO33">
        <f>R33+SUMPRODUCT(((MAX(0,L33+AM33+AN33-(Tables!$B$22+IF(B33&gt;=Tables!$B$27,2*Tables!$B$23,0))))&gt;Tables!$A$31:$A$37)*((MAX(0,L33+AM33+AN33-(Tables!$B$22+IF(B33&gt;=Tables!$B$27,2*Tables!$B$23,0))))-Tables!$A$31:$A$37)*Tables!$C$31:$C$37)-O33</f>
        <v/>
      </c>
      <c r="AP33">
        <f>IF((L33+AO33)+0.5*H33&lt;=Tables!$B$24,0,IF((L33+AO33)+0.5*H33&lt;=Tables!$B$25,MIN(0.5*H33,0.5*((L33+AO33)+0.5*H33-Tables!$B$24)),MIN(0.85*H33,0.85*((L33+AO33)+0.5*H33-Tables!$B$25)+MIN(Tables!$B$26,0.5*H33))))</f>
        <v/>
      </c>
      <c r="AQ33">
        <f>R33+SUMPRODUCT(((MAX(0,L33+AO33+AP33-(Tables!$B$22+IF(B33&gt;=Tables!$B$27,2*Tables!$B$23,0))))&gt;Tables!$A$31:$A$37)*((MAX(0,L33+AO33+AP33-(Tables!$B$22+IF(B33&gt;=Tables!$B$27,2*Tables!$B$23,0))))-Tables!$A$31:$A$37)*Tables!$C$31:$C$37)-O33</f>
        <v/>
      </c>
      <c r="AR33">
        <f>IF((L33+AQ33)+0.5*H33&lt;=Tables!$B$24,0,IF((L33+AQ33)+0.5*H33&lt;=Tables!$B$25,MIN(0.5*H33,0.5*((L33+AQ33)+0.5*H33-Tables!$B$24)),MIN(0.85*H33,0.85*((L33+AQ33)+0.5*H33-Tables!$B$25)+MIN(Tables!$B$26,0.5*H33))))</f>
        <v/>
      </c>
      <c r="AS33">
        <f>R33+SUMPRODUCT(((MAX(0,L33+AQ33+AR33-(Tables!$B$22+IF(B33&gt;=Tables!$B$27,2*Tables!$B$23,0))))&gt;Tables!$A$31:$A$37)*((MAX(0,L33+AQ33+AR33-(Tables!$B$22+IF(B33&gt;=Tables!$B$27,2*Tables!$B$23,0))))-Tables!$A$31:$A$37)*Tables!$C$31:$C$37)-O33</f>
        <v/>
      </c>
      <c r="AT33">
        <f>IF((L33+AS33)+0.5*H33&lt;=Tables!$B$24,0,IF((L33+AS33)+0.5*H33&lt;=Tables!$B$25,MIN(0.5*H33,0.5*((L33+AS33)+0.5*H33-Tables!$B$24)),MIN(0.85*H33,0.85*((L33+AS33)+0.5*H33-Tables!$B$25)+MIN(Tables!$B$26,0.5*H33))))</f>
        <v/>
      </c>
      <c r="AU33">
        <f>R33+SUMPRODUCT(((MAX(0,L33+AS33+AT33-(Tables!$B$22+IF(B33&gt;=Tables!$B$27,2*Tables!$B$23,0))))&gt;Tables!$A$31:$A$37)*((MAX(0,L33+AS33+AT33-(Tables!$B$22+IF(B33&gt;=Tables!$B$27,2*Tables!$B$23,0))))-Tables!$A$31:$A$37)*Tables!$C$31:$C$37)-O33</f>
        <v/>
      </c>
      <c r="AV33">
        <f>IF((L33+AU33)+0.5*H33&lt;=Tables!$B$24,0,IF((L33+AU33)+0.5*H33&lt;=Tables!$B$25,MIN(0.5*H33,0.5*((L33+AU33)+0.5*H33-Tables!$B$24)),MIN(0.85*H33,0.85*((L33+AU33)+0.5*H33-Tables!$B$25)+MIN(Tables!$B$26,0.5*H33))))</f>
        <v/>
      </c>
      <c r="AW33">
        <f>R33+SUMPRODUCT(((MAX(0,L33+AU33+AV33-(Tables!$B$22+IF(B33&gt;=Tables!$B$27,2*Tables!$B$23,0))))&gt;Tables!$A$31:$A$37)*((MAX(0,L33+AU33+AV33-(Tables!$B$22+IF(B33&gt;=Tables!$B$27,2*Tables!$B$23,0))))-Tables!$A$31:$A$37)*Tables!$C$31:$C$37)-O33</f>
        <v/>
      </c>
      <c r="AX33">
        <f>IF((L33+AW33)+0.5*H33&lt;=Tables!$B$24,0,IF((L33+AW33)+0.5*H33&lt;=Tables!$B$25,MIN(0.5*H33,0.5*((L33+AW33)+0.5*H33-Tables!$B$24)),MIN(0.85*H33,0.85*((L33+AW33)+0.5*H33-Tables!$B$25)+MIN(Tables!$B$26,0.5*H33))))</f>
        <v/>
      </c>
      <c r="AY33">
        <f>R33+SUMPRODUCT(((MAX(0,L33+AW33+AX33-(Tables!$B$22+IF(B33&gt;=Tables!$B$27,2*Tables!$B$23,0))))&gt;Tables!$A$31:$A$37)*((MAX(0,L33+AW33+AX33-(Tables!$B$22+IF(B33&gt;=Tables!$B$27,2*Tables!$B$23,0))))-Tables!$A$31:$A$37)*Tables!$C$31:$C$37)-O33</f>
        <v/>
      </c>
      <c r="AZ33">
        <f>IF((L33+AY33)+0.5*H33&lt;=Tables!$B$24,0,IF((L33+AY33)+0.5*H33&lt;=Tables!$B$25,MIN(0.5*H33,0.5*((L33+AY33)+0.5*H33-Tables!$B$24)),MIN(0.85*H33,0.85*((L33+AY33)+0.5*H33-Tables!$B$25)+MIN(Tables!$B$26,0.5*H33))))</f>
        <v/>
      </c>
      <c r="BA33">
        <f>R33+SUMPRODUCT(((MAX(0,L33+AY33+AZ33-(Tables!$B$22+IF(B33&gt;=Tables!$B$27,2*Tables!$B$23,0))))&gt;Tables!$A$31:$A$37)*((MAX(0,L33+AY33+AZ33-(Tables!$B$22+IF(B33&gt;=Tables!$B$27,2*Tables!$B$23,0))))-Tables!$A$31:$A$37)*Tables!$C$31:$C$37)-O33</f>
        <v/>
      </c>
      <c r="BB33">
        <f>IF((L33+BA33)+0.5*H33&lt;=Tables!$B$24,0,IF((L33+BA33)+0.5*H33&lt;=Tables!$B$25,MIN(0.5*H33,0.5*((L33+BA33)+0.5*H33-Tables!$B$24)),MIN(0.85*H33,0.85*((L33+BA33)+0.5*H33-Tables!$B$25)+MIN(Tables!$B$26,0.5*H33))))</f>
        <v/>
      </c>
      <c r="BC33">
        <f>R33+SUMPRODUCT(((MAX(0,L33+BA33+BB33-(Tables!$B$22+IF(B33&gt;=Tables!$B$27,2*Tables!$B$23,0))))&gt;Tables!$A$31:$A$37)*((MAX(0,L33+BA33+BB33-(Tables!$B$22+IF(B33&gt;=Tables!$B$27,2*Tables!$B$23,0))))-Tables!$A$31:$A$37)*Tables!$C$31:$C$37)-O33</f>
        <v/>
      </c>
      <c r="BD33">
        <f>IF((L33+BC33)+0.5*H33&lt;=Tables!$B$24,0,IF((L33+BC33)+0.5*H33&lt;=Tables!$B$25,MIN(0.5*H33,0.5*((L33+BC33)+0.5*H33-Tables!$B$24)),MIN(0.85*H33,0.85*((L33+BC33)+0.5*H33-Tables!$B$25)+MIN(Tables!$B$26,0.5*H33))))</f>
        <v/>
      </c>
      <c r="BE33">
        <f>R33+SUMPRODUCT(((MAX(0,L33+BC33+BD33-(Tables!$B$22+IF(B33&gt;=Tables!$B$27,2*Tables!$B$23,0))))&gt;Tables!$A$31:$A$37)*((MAX(0,L33+BC33+BD33-(Tables!$B$22+IF(B33&gt;=Tables!$B$27,2*Tables!$B$23,0))))-Tables!$A$31:$A$37)*Tables!$C$31:$C$37)-O33</f>
        <v/>
      </c>
      <c r="BF33">
        <f>IF((L33+BE33)+0.5*H33&lt;=Tables!$B$24,0,IF((L33+BE33)+0.5*H33&lt;=Tables!$B$25,MIN(0.5*H33,0.5*((L33+BE33)+0.5*H33-Tables!$B$24)),MIN(0.85*H33,0.85*((L33+BE33)+0.5*H33-Tables!$B$25)+MIN(Tables!$B$26,0.5*H33))))</f>
        <v/>
      </c>
      <c r="BG33">
        <f>R33+SUMPRODUCT(((MAX(0,L33+BE33+BF33-(Tables!$B$22+IF(B33&gt;=Tables!$B$27,2*Tables!$B$23,0))))&gt;Tables!$A$31:$A$37)*((MAX(0,L33+BE33+BF33-(Tables!$B$22+IF(B33&gt;=Tables!$B$27,2*Tables!$B$23,0))))-Tables!$A$31:$A$37)*Tables!$C$31:$C$37)-O33</f>
        <v/>
      </c>
      <c r="BH33">
        <f>IF((L33+BG33)+0.5*H33&lt;=Tables!$B$24,0,IF((L33+BG33)+0.5*H33&lt;=Tables!$B$25,MIN(0.5*H33,0.5*((L33+BG33)+0.5*H33-Tables!$B$24)),MIN(0.85*H33,0.85*((L33+BG33)+0.5*H33-Tables!$B$25)+MIN(Tables!$B$26,0.5*H33))))</f>
        <v/>
      </c>
      <c r="BI33">
        <f>R33+SUMPRODUCT(((MAX(0,L33+BG33+BH33-(Tables!$B$22+IF(B33&gt;=Tables!$B$27,2*Tables!$B$23,0))))&gt;Tables!$A$31:$A$37)*((MAX(0,L33+BG33+BH33-(Tables!$B$22+IF(B33&gt;=Tables!$B$27,2*Tables!$B$23,0))))-Tables!$A$31:$A$37)*Tables!$C$31:$C$37)-O33</f>
        <v/>
      </c>
      <c r="BJ33">
        <f>IF((L33+BI33)+0.5*H33&lt;=Tables!$B$24,0,IF((L33+BI33)+0.5*H33&lt;=Tables!$B$25,MIN(0.5*H33,0.5*((L33+BI33)+0.5*H33-Tables!$B$24)),MIN(0.85*H33,0.85*((L33+BI33)+0.5*H33-Tables!$B$25)+MIN(Tables!$B$26,0.5*H33))))</f>
        <v/>
      </c>
      <c r="BK33">
        <f>R33+SUMPRODUCT(((MAX(0,L33+BI33+BJ33-(Tables!$B$22+IF(B33&gt;=Tables!$B$27,2*Tables!$B$23,0))))&gt;Tables!$A$31:$A$37)*((MAX(0,L33+BI33+BJ33-(Tables!$B$22+IF(B33&gt;=Tables!$B$27,2*Tables!$B$23,0))))-Tables!$A$31:$A$37)*Tables!$C$31:$C$37)-O33</f>
        <v/>
      </c>
      <c r="BL33">
        <f>IF((L33+BK33)+0.5*H33&lt;=Tables!$B$24,0,IF((L33+BK33)+0.5*H33&lt;=Tables!$B$25,MIN(0.5*H33,0.5*((L33+BK33)+0.5*H33-Tables!$B$24)),MIN(0.85*H33,0.85*((L33+BK33)+0.5*H33-Tables!$B$25)+MIN(Tables!$B$26,0.5*H33))))</f>
        <v/>
      </c>
      <c r="BM33">
        <f>R33+SUMPRODUCT(((MAX(0,L33+BK33+BL33-(Tables!$B$22+IF(B33&gt;=Tables!$B$27,2*Tables!$B$23,0))))&gt;Tables!$A$31:$A$37)*((MAX(0,L33+BK33+BL33-(Tables!$B$22+IF(B33&gt;=Tables!$B$27,2*Tables!$B$23,0))))-Tables!$A$31:$A$37)*Tables!$C$31:$C$37)-O33</f>
        <v/>
      </c>
      <c r="BN33">
        <f>IF((L33+BM33)+0.5*H33&lt;=Tables!$B$24,0,IF((L33+BM33)+0.5*H33&lt;=Tables!$B$25,MIN(0.5*H33,0.5*((L33+BM33)+0.5*H33-Tables!$B$24)),MIN(0.85*H33,0.85*((L33+BM33)+0.5*H33-Tables!$B$25)+MIN(Tables!$B$26,0.5*H33))))</f>
        <v/>
      </c>
      <c r="BO33">
        <f>R33+SUMPRODUCT(((MAX(0,L33+BM33+BN33-(Tables!$B$22+IF(B33&gt;=Tables!$B$27,2*Tables!$B$23,0))))&gt;Tables!$A$31:$A$37)*((MAX(0,L33+BM33+BN33-(Tables!$B$22+IF(B33&gt;=Tables!$B$27,2*Tables!$B$23,0))))-Tables!$A$31:$A$37)*Tables!$C$31:$C$37)-O33</f>
        <v/>
      </c>
      <c r="BP33">
        <f>MIN(BO33,S33)</f>
        <v/>
      </c>
      <c r="BQ33">
        <f>L33+BP33</f>
        <v/>
      </c>
      <c r="BR33">
        <f>IF(BQ33+0.5*H33&lt;=Tables!$B$24,0,IF(BQ33+0.5*H33&lt;=Tables!$B$25,MIN(0.5*H33,0.5*(BQ33+0.5*H33-Tables!$B$24)),MIN(0.85*H33,0.85*(BQ33+0.5*H33-Tables!$B$25)+MIN(Tables!$B$26,0.5*H33))))</f>
        <v/>
      </c>
      <c r="BS33">
        <f>MAX(0,BQ33+BR33-(Tables!$B$22+IF(B33&gt;=Tables!$B$27,2*Tables!$B$23,0)))</f>
        <v/>
      </c>
      <c r="BT33">
        <f>SUMPRODUCT(((BS33)&gt;Tables!$A$31:$A$37)*((BS33)-Tables!$A$31:$A$37)*Tables!$C$31:$C$37)</f>
        <v/>
      </c>
      <c r="BU33">
        <f>MAX(0,G33-(H33+BQ33+Q33-BT33))</f>
        <v/>
      </c>
      <c r="BV33">
        <f>MIN(J33,BU33)</f>
        <v/>
      </c>
      <c r="BW33">
        <f>H33+BQ33+Q33+BV33</f>
        <v/>
      </c>
      <c r="BX33">
        <f>MAX(0,BW33-G33-BT33)</f>
        <v/>
      </c>
      <c r="BY33">
        <f>MAX(0,G33+BT33-BW33)</f>
        <v/>
      </c>
      <c r="BZ33">
        <f>IF(C33=0,0,MAX(0,I33-BQ33)*(1+D33))</f>
        <v/>
      </c>
      <c r="CA33">
        <f>IF(C33=0,0,MAX(0,J33-BV33)*(1+D33))</f>
        <v/>
      </c>
      <c r="CB33">
        <f>IF(C33=0,0,MAX(0,K33-Q33+BX33)*(1+D33))</f>
        <v/>
      </c>
      <c r="CC33">
        <f>IF(C33=0,CC32,BZ33+CA33+CB33)</f>
        <v/>
      </c>
      <c r="CD33">
        <f>IF(C33=0,9999,IF(OR(BY33&gt;0.0001,CC33&lt;=0.0001),B33,9999))</f>
        <v/>
      </c>
    </row>
    <row r="34">
      <c r="A34" t="n">
        <v>32</v>
      </c>
      <c r="B34">
        <f>Tables!$B$13+A34</f>
        <v/>
      </c>
      <c r="C34">
        <f>IF(B34&lt;=Tables!$B$18,1,0)</f>
        <v/>
      </c>
      <c r="D34">
        <f>INDEX(Tables!$B$83:$B$123,A34+1)</f>
        <v/>
      </c>
      <c r="E34">
        <f>IF(A34=0,0,INDEX(Tables!$B$83:$B$123,A34))</f>
        <v/>
      </c>
      <c r="F34">
        <f>IF(AND(C34=1,Tables!$B$17="YES",A34&gt;0,E34&lt;Tables!$B$16),Tables!$B$15,0)</f>
        <v/>
      </c>
      <c r="G34">
        <f>IF(C34=0,0,Tables!$B$8-IF(B34&gt;=Tables!$B$7,Tables!$B$6,0)+IF(B34&lt;Tables!$B$27,Tables!$B$9,Tables!$B$10)-F34)</f>
        <v/>
      </c>
      <c r="H34">
        <f>IF(C34=0,0,IF(B34&gt;=Tables!$B$78,Tables!$D$78,0)+IF(B34&gt;=Tables!$C$78,Tables!$E$78,0))</f>
        <v/>
      </c>
      <c r="I34">
        <f>IF(C34=0,0,BZ33)</f>
        <v/>
      </c>
      <c r="J34">
        <f>IF(C34=0,0,CA33)</f>
        <v/>
      </c>
      <c r="K34">
        <f>IF(C34=0,0,CB33)</f>
        <v/>
      </c>
      <c r="L34">
        <f>IF(C34=0,0,IF(B34&gt;=Tables!$B$19,MIN(I34,I34/VLOOKUP(B34,Tables!$A$41:$B$61,2,FALSE)),0))</f>
        <v/>
      </c>
      <c r="M34">
        <f>IF(L34+0.5*H34&lt;=Tables!$B$24,0,IF(L34+0.5*H34&lt;=Tables!$B$25,MIN(0.5*H34,0.5*(L34+0.5*H34-Tables!$B$24)),MIN(0.85*H34,0.85*(L34+0.5*H34-Tables!$B$25)+MIN(Tables!$B$26,0.5*H34))))</f>
        <v/>
      </c>
      <c r="N34">
        <f>MAX(0,L34+M34-(Tables!$B$22+IF(B34&gt;=Tables!$B$27,2*Tables!$B$23,0)))</f>
        <v/>
      </c>
      <c r="O34">
        <f>SUMPRODUCT(((N34)&gt;Tables!$A$31:$A$37)*((N34)-Tables!$A$31:$A$37)*Tables!$C$31:$C$37)</f>
        <v/>
      </c>
      <c r="P34">
        <f>G34-(H34+L34-O34)</f>
        <v/>
      </c>
      <c r="Q34">
        <f>MIN(K34,MAX(0,P34))</f>
        <v/>
      </c>
      <c r="R34">
        <f>MAX(0,P34-Q34)</f>
        <v/>
      </c>
      <c r="S34">
        <f>MAX(0,I34-L34)</f>
        <v/>
      </c>
      <c r="T34">
        <f>IF((L34+R34)+0.5*H34&lt;=Tables!$B$24,0,IF((L34+R34)+0.5*H34&lt;=Tables!$B$25,MIN(0.5*H34,0.5*((L34+R34)+0.5*H34-Tables!$B$24)),MIN(0.85*H34,0.85*((L34+R34)+0.5*H34-Tables!$B$25)+MIN(Tables!$B$26,0.5*H34))))</f>
        <v/>
      </c>
      <c r="U34">
        <f>R34+SUMPRODUCT(((MAX(0,L34+R34+T34-(Tables!$B$22+IF(B34&gt;=Tables!$B$27,2*Tables!$B$23,0))))&gt;Tables!$A$31:$A$37)*((MAX(0,L34+R34+T34-(Tables!$B$22+IF(B34&gt;=Tables!$B$27,2*Tables!$B$23,0))))-Tables!$A$31:$A$37)*Tables!$C$31:$C$37)-O34</f>
        <v/>
      </c>
      <c r="V34">
        <f>IF((L34+U34)+0.5*H34&lt;=Tables!$B$24,0,IF((L34+U34)+0.5*H34&lt;=Tables!$B$25,MIN(0.5*H34,0.5*((L34+U34)+0.5*H34-Tables!$B$24)),MIN(0.85*H34,0.85*((L34+U34)+0.5*H34-Tables!$B$25)+MIN(Tables!$B$26,0.5*H34))))</f>
        <v/>
      </c>
      <c r="W34">
        <f>R34+SUMPRODUCT(((MAX(0,L34+U34+V34-(Tables!$B$22+IF(B34&gt;=Tables!$B$27,2*Tables!$B$23,0))))&gt;Tables!$A$31:$A$37)*((MAX(0,L34+U34+V34-(Tables!$B$22+IF(B34&gt;=Tables!$B$27,2*Tables!$B$23,0))))-Tables!$A$31:$A$37)*Tables!$C$31:$C$37)-O34</f>
        <v/>
      </c>
      <c r="X34">
        <f>IF((L34+W34)+0.5*H34&lt;=Tables!$B$24,0,IF((L34+W34)+0.5*H34&lt;=Tables!$B$25,MIN(0.5*H34,0.5*((L34+W34)+0.5*H34-Tables!$B$24)),MIN(0.85*H34,0.85*((L34+W34)+0.5*H34-Tables!$B$25)+MIN(Tables!$B$26,0.5*H34))))</f>
        <v/>
      </c>
      <c r="Y34">
        <f>R34+SUMPRODUCT(((MAX(0,L34+W34+X34-(Tables!$B$22+IF(B34&gt;=Tables!$B$27,2*Tables!$B$23,0))))&gt;Tables!$A$31:$A$37)*((MAX(0,L34+W34+X34-(Tables!$B$22+IF(B34&gt;=Tables!$B$27,2*Tables!$B$23,0))))-Tables!$A$31:$A$37)*Tables!$C$31:$C$37)-O34</f>
        <v/>
      </c>
      <c r="Z34">
        <f>IF((L34+Y34)+0.5*H34&lt;=Tables!$B$24,0,IF((L34+Y34)+0.5*H34&lt;=Tables!$B$25,MIN(0.5*H34,0.5*((L34+Y34)+0.5*H34-Tables!$B$24)),MIN(0.85*H34,0.85*((L34+Y34)+0.5*H34-Tables!$B$25)+MIN(Tables!$B$26,0.5*H34))))</f>
        <v/>
      </c>
      <c r="AA34">
        <f>R34+SUMPRODUCT(((MAX(0,L34+Y34+Z34-(Tables!$B$22+IF(B34&gt;=Tables!$B$27,2*Tables!$B$23,0))))&gt;Tables!$A$31:$A$37)*((MAX(0,L34+Y34+Z34-(Tables!$B$22+IF(B34&gt;=Tables!$B$27,2*Tables!$B$23,0))))-Tables!$A$31:$A$37)*Tables!$C$31:$C$37)-O34</f>
        <v/>
      </c>
      <c r="AB34">
        <f>IF((L34+AA34)+0.5*H34&lt;=Tables!$B$24,0,IF((L34+AA34)+0.5*H34&lt;=Tables!$B$25,MIN(0.5*H34,0.5*((L34+AA34)+0.5*H34-Tables!$B$24)),MIN(0.85*H34,0.85*((L34+AA34)+0.5*H34-Tables!$B$25)+MIN(Tables!$B$26,0.5*H34))))</f>
        <v/>
      </c>
      <c r="AC34">
        <f>R34+SUMPRODUCT(((MAX(0,L34+AA34+AB34-(Tables!$B$22+IF(B34&gt;=Tables!$B$27,2*Tables!$B$23,0))))&gt;Tables!$A$31:$A$37)*((MAX(0,L34+AA34+AB34-(Tables!$B$22+IF(B34&gt;=Tables!$B$27,2*Tables!$B$23,0))))-Tables!$A$31:$A$37)*Tables!$C$31:$C$37)-O34</f>
        <v/>
      </c>
      <c r="AD34">
        <f>IF((L34+AC34)+0.5*H34&lt;=Tables!$B$24,0,IF((L34+AC34)+0.5*H34&lt;=Tables!$B$25,MIN(0.5*H34,0.5*((L34+AC34)+0.5*H34-Tables!$B$24)),MIN(0.85*H34,0.85*((L34+AC34)+0.5*H34-Tables!$B$25)+MIN(Tables!$B$26,0.5*H34))))</f>
        <v/>
      </c>
      <c r="AE34">
        <f>R34+SUMPRODUCT(((MAX(0,L34+AC34+AD34-(Tables!$B$22+IF(B34&gt;=Tables!$B$27,2*Tables!$B$23,0))))&gt;Tables!$A$31:$A$37)*((MAX(0,L34+AC34+AD34-(Tables!$B$22+IF(B34&gt;=Tables!$B$27,2*Tables!$B$23,0))))-Tables!$A$31:$A$37)*Tables!$C$31:$C$37)-O34</f>
        <v/>
      </c>
      <c r="AF34">
        <f>IF((L34+AE34)+0.5*H34&lt;=Tables!$B$24,0,IF((L34+AE34)+0.5*H34&lt;=Tables!$B$25,MIN(0.5*H34,0.5*((L34+AE34)+0.5*H34-Tables!$B$24)),MIN(0.85*H34,0.85*((L34+AE34)+0.5*H34-Tables!$B$25)+MIN(Tables!$B$26,0.5*H34))))</f>
        <v/>
      </c>
      <c r="AG34">
        <f>R34+SUMPRODUCT(((MAX(0,L34+AE34+AF34-(Tables!$B$22+IF(B34&gt;=Tables!$B$27,2*Tables!$B$23,0))))&gt;Tables!$A$31:$A$37)*((MAX(0,L34+AE34+AF34-(Tables!$B$22+IF(B34&gt;=Tables!$B$27,2*Tables!$B$23,0))))-Tables!$A$31:$A$37)*Tables!$C$31:$C$37)-O34</f>
        <v/>
      </c>
      <c r="AH34">
        <f>IF((L34+AG34)+0.5*H34&lt;=Tables!$B$24,0,IF((L34+AG34)+0.5*H34&lt;=Tables!$B$25,MIN(0.5*H34,0.5*((L34+AG34)+0.5*H34-Tables!$B$24)),MIN(0.85*H34,0.85*((L34+AG34)+0.5*H34-Tables!$B$25)+MIN(Tables!$B$26,0.5*H34))))</f>
        <v/>
      </c>
      <c r="AI34">
        <f>R34+SUMPRODUCT(((MAX(0,L34+AG34+AH34-(Tables!$B$22+IF(B34&gt;=Tables!$B$27,2*Tables!$B$23,0))))&gt;Tables!$A$31:$A$37)*((MAX(0,L34+AG34+AH34-(Tables!$B$22+IF(B34&gt;=Tables!$B$27,2*Tables!$B$23,0))))-Tables!$A$31:$A$37)*Tables!$C$31:$C$37)-O34</f>
        <v/>
      </c>
      <c r="AJ34">
        <f>IF((L34+AI34)+0.5*H34&lt;=Tables!$B$24,0,IF((L34+AI34)+0.5*H34&lt;=Tables!$B$25,MIN(0.5*H34,0.5*((L34+AI34)+0.5*H34-Tables!$B$24)),MIN(0.85*H34,0.85*((L34+AI34)+0.5*H34-Tables!$B$25)+MIN(Tables!$B$26,0.5*H34))))</f>
        <v/>
      </c>
      <c r="AK34">
        <f>R34+SUMPRODUCT(((MAX(0,L34+AI34+AJ34-(Tables!$B$22+IF(B34&gt;=Tables!$B$27,2*Tables!$B$23,0))))&gt;Tables!$A$31:$A$37)*((MAX(0,L34+AI34+AJ34-(Tables!$B$22+IF(B34&gt;=Tables!$B$27,2*Tables!$B$23,0))))-Tables!$A$31:$A$37)*Tables!$C$31:$C$37)-O34</f>
        <v/>
      </c>
      <c r="AL34">
        <f>IF((L34+AK34)+0.5*H34&lt;=Tables!$B$24,0,IF((L34+AK34)+0.5*H34&lt;=Tables!$B$25,MIN(0.5*H34,0.5*((L34+AK34)+0.5*H34-Tables!$B$24)),MIN(0.85*H34,0.85*((L34+AK34)+0.5*H34-Tables!$B$25)+MIN(Tables!$B$26,0.5*H34))))</f>
        <v/>
      </c>
      <c r="AM34">
        <f>R34+SUMPRODUCT(((MAX(0,L34+AK34+AL34-(Tables!$B$22+IF(B34&gt;=Tables!$B$27,2*Tables!$B$23,0))))&gt;Tables!$A$31:$A$37)*((MAX(0,L34+AK34+AL34-(Tables!$B$22+IF(B34&gt;=Tables!$B$27,2*Tables!$B$23,0))))-Tables!$A$31:$A$37)*Tables!$C$31:$C$37)-O34</f>
        <v/>
      </c>
      <c r="AN34">
        <f>IF((L34+AM34)+0.5*H34&lt;=Tables!$B$24,0,IF((L34+AM34)+0.5*H34&lt;=Tables!$B$25,MIN(0.5*H34,0.5*((L34+AM34)+0.5*H34-Tables!$B$24)),MIN(0.85*H34,0.85*((L34+AM34)+0.5*H34-Tables!$B$25)+MIN(Tables!$B$26,0.5*H34))))</f>
        <v/>
      </c>
      <c r="AO34">
        <f>R34+SUMPRODUCT(((MAX(0,L34+AM34+AN34-(Tables!$B$22+IF(B34&gt;=Tables!$B$27,2*Tables!$B$23,0))))&gt;Tables!$A$31:$A$37)*((MAX(0,L34+AM34+AN34-(Tables!$B$22+IF(B34&gt;=Tables!$B$27,2*Tables!$B$23,0))))-Tables!$A$31:$A$37)*Tables!$C$31:$C$37)-O34</f>
        <v/>
      </c>
      <c r="AP34">
        <f>IF((L34+AO34)+0.5*H34&lt;=Tables!$B$24,0,IF((L34+AO34)+0.5*H34&lt;=Tables!$B$25,MIN(0.5*H34,0.5*((L34+AO34)+0.5*H34-Tables!$B$24)),MIN(0.85*H34,0.85*((L34+AO34)+0.5*H34-Tables!$B$25)+MIN(Tables!$B$26,0.5*H34))))</f>
        <v/>
      </c>
      <c r="AQ34">
        <f>R34+SUMPRODUCT(((MAX(0,L34+AO34+AP34-(Tables!$B$22+IF(B34&gt;=Tables!$B$27,2*Tables!$B$23,0))))&gt;Tables!$A$31:$A$37)*((MAX(0,L34+AO34+AP34-(Tables!$B$22+IF(B34&gt;=Tables!$B$27,2*Tables!$B$23,0))))-Tables!$A$31:$A$37)*Tables!$C$31:$C$37)-O34</f>
        <v/>
      </c>
      <c r="AR34">
        <f>IF((L34+AQ34)+0.5*H34&lt;=Tables!$B$24,0,IF((L34+AQ34)+0.5*H34&lt;=Tables!$B$25,MIN(0.5*H34,0.5*((L34+AQ34)+0.5*H34-Tables!$B$24)),MIN(0.85*H34,0.85*((L34+AQ34)+0.5*H34-Tables!$B$25)+MIN(Tables!$B$26,0.5*H34))))</f>
        <v/>
      </c>
      <c r="AS34">
        <f>R34+SUMPRODUCT(((MAX(0,L34+AQ34+AR34-(Tables!$B$22+IF(B34&gt;=Tables!$B$27,2*Tables!$B$23,0))))&gt;Tables!$A$31:$A$37)*((MAX(0,L34+AQ34+AR34-(Tables!$B$22+IF(B34&gt;=Tables!$B$27,2*Tables!$B$23,0))))-Tables!$A$31:$A$37)*Tables!$C$31:$C$37)-O34</f>
        <v/>
      </c>
      <c r="AT34">
        <f>IF((L34+AS34)+0.5*H34&lt;=Tables!$B$24,0,IF((L34+AS34)+0.5*H34&lt;=Tables!$B$25,MIN(0.5*H34,0.5*((L34+AS34)+0.5*H34-Tables!$B$24)),MIN(0.85*H34,0.85*((L34+AS34)+0.5*H34-Tables!$B$25)+MIN(Tables!$B$26,0.5*H34))))</f>
        <v/>
      </c>
      <c r="AU34">
        <f>R34+SUMPRODUCT(((MAX(0,L34+AS34+AT34-(Tables!$B$22+IF(B34&gt;=Tables!$B$27,2*Tables!$B$23,0))))&gt;Tables!$A$31:$A$37)*((MAX(0,L34+AS34+AT34-(Tables!$B$22+IF(B34&gt;=Tables!$B$27,2*Tables!$B$23,0))))-Tables!$A$31:$A$37)*Tables!$C$31:$C$37)-O34</f>
        <v/>
      </c>
      <c r="AV34">
        <f>IF((L34+AU34)+0.5*H34&lt;=Tables!$B$24,0,IF((L34+AU34)+0.5*H34&lt;=Tables!$B$25,MIN(0.5*H34,0.5*((L34+AU34)+0.5*H34-Tables!$B$24)),MIN(0.85*H34,0.85*((L34+AU34)+0.5*H34-Tables!$B$25)+MIN(Tables!$B$26,0.5*H34))))</f>
        <v/>
      </c>
      <c r="AW34">
        <f>R34+SUMPRODUCT(((MAX(0,L34+AU34+AV34-(Tables!$B$22+IF(B34&gt;=Tables!$B$27,2*Tables!$B$23,0))))&gt;Tables!$A$31:$A$37)*((MAX(0,L34+AU34+AV34-(Tables!$B$22+IF(B34&gt;=Tables!$B$27,2*Tables!$B$23,0))))-Tables!$A$31:$A$37)*Tables!$C$31:$C$37)-O34</f>
        <v/>
      </c>
      <c r="AX34">
        <f>IF((L34+AW34)+0.5*H34&lt;=Tables!$B$24,0,IF((L34+AW34)+0.5*H34&lt;=Tables!$B$25,MIN(0.5*H34,0.5*((L34+AW34)+0.5*H34-Tables!$B$24)),MIN(0.85*H34,0.85*((L34+AW34)+0.5*H34-Tables!$B$25)+MIN(Tables!$B$26,0.5*H34))))</f>
        <v/>
      </c>
      <c r="AY34">
        <f>R34+SUMPRODUCT(((MAX(0,L34+AW34+AX34-(Tables!$B$22+IF(B34&gt;=Tables!$B$27,2*Tables!$B$23,0))))&gt;Tables!$A$31:$A$37)*((MAX(0,L34+AW34+AX34-(Tables!$B$22+IF(B34&gt;=Tables!$B$27,2*Tables!$B$23,0))))-Tables!$A$31:$A$37)*Tables!$C$31:$C$37)-O34</f>
        <v/>
      </c>
      <c r="AZ34">
        <f>IF((L34+AY34)+0.5*H34&lt;=Tables!$B$24,0,IF((L34+AY34)+0.5*H34&lt;=Tables!$B$25,MIN(0.5*H34,0.5*((L34+AY34)+0.5*H34-Tables!$B$24)),MIN(0.85*H34,0.85*((L34+AY34)+0.5*H34-Tables!$B$25)+MIN(Tables!$B$26,0.5*H34))))</f>
        <v/>
      </c>
      <c r="BA34">
        <f>R34+SUMPRODUCT(((MAX(0,L34+AY34+AZ34-(Tables!$B$22+IF(B34&gt;=Tables!$B$27,2*Tables!$B$23,0))))&gt;Tables!$A$31:$A$37)*((MAX(0,L34+AY34+AZ34-(Tables!$B$22+IF(B34&gt;=Tables!$B$27,2*Tables!$B$23,0))))-Tables!$A$31:$A$37)*Tables!$C$31:$C$37)-O34</f>
        <v/>
      </c>
      <c r="BB34">
        <f>IF((L34+BA34)+0.5*H34&lt;=Tables!$B$24,0,IF((L34+BA34)+0.5*H34&lt;=Tables!$B$25,MIN(0.5*H34,0.5*((L34+BA34)+0.5*H34-Tables!$B$24)),MIN(0.85*H34,0.85*((L34+BA34)+0.5*H34-Tables!$B$25)+MIN(Tables!$B$26,0.5*H34))))</f>
        <v/>
      </c>
      <c r="BC34">
        <f>R34+SUMPRODUCT(((MAX(0,L34+BA34+BB34-(Tables!$B$22+IF(B34&gt;=Tables!$B$27,2*Tables!$B$23,0))))&gt;Tables!$A$31:$A$37)*((MAX(0,L34+BA34+BB34-(Tables!$B$22+IF(B34&gt;=Tables!$B$27,2*Tables!$B$23,0))))-Tables!$A$31:$A$37)*Tables!$C$31:$C$37)-O34</f>
        <v/>
      </c>
      <c r="BD34">
        <f>IF((L34+BC34)+0.5*H34&lt;=Tables!$B$24,0,IF((L34+BC34)+0.5*H34&lt;=Tables!$B$25,MIN(0.5*H34,0.5*((L34+BC34)+0.5*H34-Tables!$B$24)),MIN(0.85*H34,0.85*((L34+BC34)+0.5*H34-Tables!$B$25)+MIN(Tables!$B$26,0.5*H34))))</f>
        <v/>
      </c>
      <c r="BE34">
        <f>R34+SUMPRODUCT(((MAX(0,L34+BC34+BD34-(Tables!$B$22+IF(B34&gt;=Tables!$B$27,2*Tables!$B$23,0))))&gt;Tables!$A$31:$A$37)*((MAX(0,L34+BC34+BD34-(Tables!$B$22+IF(B34&gt;=Tables!$B$27,2*Tables!$B$23,0))))-Tables!$A$31:$A$37)*Tables!$C$31:$C$37)-O34</f>
        <v/>
      </c>
      <c r="BF34">
        <f>IF((L34+BE34)+0.5*H34&lt;=Tables!$B$24,0,IF((L34+BE34)+0.5*H34&lt;=Tables!$B$25,MIN(0.5*H34,0.5*((L34+BE34)+0.5*H34-Tables!$B$24)),MIN(0.85*H34,0.85*((L34+BE34)+0.5*H34-Tables!$B$25)+MIN(Tables!$B$26,0.5*H34))))</f>
        <v/>
      </c>
      <c r="BG34">
        <f>R34+SUMPRODUCT(((MAX(0,L34+BE34+BF34-(Tables!$B$22+IF(B34&gt;=Tables!$B$27,2*Tables!$B$23,0))))&gt;Tables!$A$31:$A$37)*((MAX(0,L34+BE34+BF34-(Tables!$B$22+IF(B34&gt;=Tables!$B$27,2*Tables!$B$23,0))))-Tables!$A$31:$A$37)*Tables!$C$31:$C$37)-O34</f>
        <v/>
      </c>
      <c r="BH34">
        <f>IF((L34+BG34)+0.5*H34&lt;=Tables!$B$24,0,IF((L34+BG34)+0.5*H34&lt;=Tables!$B$25,MIN(0.5*H34,0.5*((L34+BG34)+0.5*H34-Tables!$B$24)),MIN(0.85*H34,0.85*((L34+BG34)+0.5*H34-Tables!$B$25)+MIN(Tables!$B$26,0.5*H34))))</f>
        <v/>
      </c>
      <c r="BI34">
        <f>R34+SUMPRODUCT(((MAX(0,L34+BG34+BH34-(Tables!$B$22+IF(B34&gt;=Tables!$B$27,2*Tables!$B$23,0))))&gt;Tables!$A$31:$A$37)*((MAX(0,L34+BG34+BH34-(Tables!$B$22+IF(B34&gt;=Tables!$B$27,2*Tables!$B$23,0))))-Tables!$A$31:$A$37)*Tables!$C$31:$C$37)-O34</f>
        <v/>
      </c>
      <c r="BJ34">
        <f>IF((L34+BI34)+0.5*H34&lt;=Tables!$B$24,0,IF((L34+BI34)+0.5*H34&lt;=Tables!$B$25,MIN(0.5*H34,0.5*((L34+BI34)+0.5*H34-Tables!$B$24)),MIN(0.85*H34,0.85*((L34+BI34)+0.5*H34-Tables!$B$25)+MIN(Tables!$B$26,0.5*H34))))</f>
        <v/>
      </c>
      <c r="BK34">
        <f>R34+SUMPRODUCT(((MAX(0,L34+BI34+BJ34-(Tables!$B$22+IF(B34&gt;=Tables!$B$27,2*Tables!$B$23,0))))&gt;Tables!$A$31:$A$37)*((MAX(0,L34+BI34+BJ34-(Tables!$B$22+IF(B34&gt;=Tables!$B$27,2*Tables!$B$23,0))))-Tables!$A$31:$A$37)*Tables!$C$31:$C$37)-O34</f>
        <v/>
      </c>
      <c r="BL34">
        <f>IF((L34+BK34)+0.5*H34&lt;=Tables!$B$24,0,IF((L34+BK34)+0.5*H34&lt;=Tables!$B$25,MIN(0.5*H34,0.5*((L34+BK34)+0.5*H34-Tables!$B$24)),MIN(0.85*H34,0.85*((L34+BK34)+0.5*H34-Tables!$B$25)+MIN(Tables!$B$26,0.5*H34))))</f>
        <v/>
      </c>
      <c r="BM34">
        <f>R34+SUMPRODUCT(((MAX(0,L34+BK34+BL34-(Tables!$B$22+IF(B34&gt;=Tables!$B$27,2*Tables!$B$23,0))))&gt;Tables!$A$31:$A$37)*((MAX(0,L34+BK34+BL34-(Tables!$B$22+IF(B34&gt;=Tables!$B$27,2*Tables!$B$23,0))))-Tables!$A$31:$A$37)*Tables!$C$31:$C$37)-O34</f>
        <v/>
      </c>
      <c r="BN34">
        <f>IF((L34+BM34)+0.5*H34&lt;=Tables!$B$24,0,IF((L34+BM34)+0.5*H34&lt;=Tables!$B$25,MIN(0.5*H34,0.5*((L34+BM34)+0.5*H34-Tables!$B$24)),MIN(0.85*H34,0.85*((L34+BM34)+0.5*H34-Tables!$B$25)+MIN(Tables!$B$26,0.5*H34))))</f>
        <v/>
      </c>
      <c r="BO34">
        <f>R34+SUMPRODUCT(((MAX(0,L34+BM34+BN34-(Tables!$B$22+IF(B34&gt;=Tables!$B$27,2*Tables!$B$23,0))))&gt;Tables!$A$31:$A$37)*((MAX(0,L34+BM34+BN34-(Tables!$B$22+IF(B34&gt;=Tables!$B$27,2*Tables!$B$23,0))))-Tables!$A$31:$A$37)*Tables!$C$31:$C$37)-O34</f>
        <v/>
      </c>
      <c r="BP34">
        <f>MIN(BO34,S34)</f>
        <v/>
      </c>
      <c r="BQ34">
        <f>L34+BP34</f>
        <v/>
      </c>
      <c r="BR34">
        <f>IF(BQ34+0.5*H34&lt;=Tables!$B$24,0,IF(BQ34+0.5*H34&lt;=Tables!$B$25,MIN(0.5*H34,0.5*(BQ34+0.5*H34-Tables!$B$24)),MIN(0.85*H34,0.85*(BQ34+0.5*H34-Tables!$B$25)+MIN(Tables!$B$26,0.5*H34))))</f>
        <v/>
      </c>
      <c r="BS34">
        <f>MAX(0,BQ34+BR34-(Tables!$B$22+IF(B34&gt;=Tables!$B$27,2*Tables!$B$23,0)))</f>
        <v/>
      </c>
      <c r="BT34">
        <f>SUMPRODUCT(((BS34)&gt;Tables!$A$31:$A$37)*((BS34)-Tables!$A$31:$A$37)*Tables!$C$31:$C$37)</f>
        <v/>
      </c>
      <c r="BU34">
        <f>MAX(0,G34-(H34+BQ34+Q34-BT34))</f>
        <v/>
      </c>
      <c r="BV34">
        <f>MIN(J34,BU34)</f>
        <v/>
      </c>
      <c r="BW34">
        <f>H34+BQ34+Q34+BV34</f>
        <v/>
      </c>
      <c r="BX34">
        <f>MAX(0,BW34-G34-BT34)</f>
        <v/>
      </c>
      <c r="BY34">
        <f>MAX(0,G34+BT34-BW34)</f>
        <v/>
      </c>
      <c r="BZ34">
        <f>IF(C34=0,0,MAX(0,I34-BQ34)*(1+D34))</f>
        <v/>
      </c>
      <c r="CA34">
        <f>IF(C34=0,0,MAX(0,J34-BV34)*(1+D34))</f>
        <v/>
      </c>
      <c r="CB34">
        <f>IF(C34=0,0,MAX(0,K34-Q34+BX34)*(1+D34))</f>
        <v/>
      </c>
      <c r="CC34">
        <f>IF(C34=0,CC33,BZ34+CA34+CB34)</f>
        <v/>
      </c>
      <c r="CD34">
        <f>IF(C34=0,9999,IF(OR(BY34&gt;0.0001,CC34&lt;=0.0001),B34,9999))</f>
        <v/>
      </c>
    </row>
    <row r="35">
      <c r="A35" t="n">
        <v>33</v>
      </c>
      <c r="B35">
        <f>Tables!$B$13+A35</f>
        <v/>
      </c>
      <c r="C35">
        <f>IF(B35&lt;=Tables!$B$18,1,0)</f>
        <v/>
      </c>
      <c r="D35">
        <f>INDEX(Tables!$B$83:$B$123,A35+1)</f>
        <v/>
      </c>
      <c r="E35">
        <f>IF(A35=0,0,INDEX(Tables!$B$83:$B$123,A35))</f>
        <v/>
      </c>
      <c r="F35">
        <f>IF(AND(C35=1,Tables!$B$17="YES",A35&gt;0,E35&lt;Tables!$B$16),Tables!$B$15,0)</f>
        <v/>
      </c>
      <c r="G35">
        <f>IF(C35=0,0,Tables!$B$8-IF(B35&gt;=Tables!$B$7,Tables!$B$6,0)+IF(B35&lt;Tables!$B$27,Tables!$B$9,Tables!$B$10)-F35)</f>
        <v/>
      </c>
      <c r="H35">
        <f>IF(C35=0,0,IF(B35&gt;=Tables!$B$78,Tables!$D$78,0)+IF(B35&gt;=Tables!$C$78,Tables!$E$78,0))</f>
        <v/>
      </c>
      <c r="I35">
        <f>IF(C35=0,0,BZ34)</f>
        <v/>
      </c>
      <c r="J35">
        <f>IF(C35=0,0,CA34)</f>
        <v/>
      </c>
      <c r="K35">
        <f>IF(C35=0,0,CB34)</f>
        <v/>
      </c>
      <c r="L35">
        <f>IF(C35=0,0,IF(B35&gt;=Tables!$B$19,MIN(I35,I35/VLOOKUP(B35,Tables!$A$41:$B$61,2,FALSE)),0))</f>
        <v/>
      </c>
      <c r="M35">
        <f>IF(L35+0.5*H35&lt;=Tables!$B$24,0,IF(L35+0.5*H35&lt;=Tables!$B$25,MIN(0.5*H35,0.5*(L35+0.5*H35-Tables!$B$24)),MIN(0.85*H35,0.85*(L35+0.5*H35-Tables!$B$25)+MIN(Tables!$B$26,0.5*H35))))</f>
        <v/>
      </c>
      <c r="N35">
        <f>MAX(0,L35+M35-(Tables!$B$22+IF(B35&gt;=Tables!$B$27,2*Tables!$B$23,0)))</f>
        <v/>
      </c>
      <c r="O35">
        <f>SUMPRODUCT(((N35)&gt;Tables!$A$31:$A$37)*((N35)-Tables!$A$31:$A$37)*Tables!$C$31:$C$37)</f>
        <v/>
      </c>
      <c r="P35">
        <f>G35-(H35+L35-O35)</f>
        <v/>
      </c>
      <c r="Q35">
        <f>MIN(K35,MAX(0,P35))</f>
        <v/>
      </c>
      <c r="R35">
        <f>MAX(0,P35-Q35)</f>
        <v/>
      </c>
      <c r="S35">
        <f>MAX(0,I35-L35)</f>
        <v/>
      </c>
      <c r="T35">
        <f>IF((L35+R35)+0.5*H35&lt;=Tables!$B$24,0,IF((L35+R35)+0.5*H35&lt;=Tables!$B$25,MIN(0.5*H35,0.5*((L35+R35)+0.5*H35-Tables!$B$24)),MIN(0.85*H35,0.85*((L35+R35)+0.5*H35-Tables!$B$25)+MIN(Tables!$B$26,0.5*H35))))</f>
        <v/>
      </c>
      <c r="U35">
        <f>R35+SUMPRODUCT(((MAX(0,L35+R35+T35-(Tables!$B$22+IF(B35&gt;=Tables!$B$27,2*Tables!$B$23,0))))&gt;Tables!$A$31:$A$37)*((MAX(0,L35+R35+T35-(Tables!$B$22+IF(B35&gt;=Tables!$B$27,2*Tables!$B$23,0))))-Tables!$A$31:$A$37)*Tables!$C$31:$C$37)-O35</f>
        <v/>
      </c>
      <c r="V35">
        <f>IF((L35+U35)+0.5*H35&lt;=Tables!$B$24,0,IF((L35+U35)+0.5*H35&lt;=Tables!$B$25,MIN(0.5*H35,0.5*((L35+U35)+0.5*H35-Tables!$B$24)),MIN(0.85*H35,0.85*((L35+U35)+0.5*H35-Tables!$B$25)+MIN(Tables!$B$26,0.5*H35))))</f>
        <v/>
      </c>
      <c r="W35">
        <f>R35+SUMPRODUCT(((MAX(0,L35+U35+V35-(Tables!$B$22+IF(B35&gt;=Tables!$B$27,2*Tables!$B$23,0))))&gt;Tables!$A$31:$A$37)*((MAX(0,L35+U35+V35-(Tables!$B$22+IF(B35&gt;=Tables!$B$27,2*Tables!$B$23,0))))-Tables!$A$31:$A$37)*Tables!$C$31:$C$37)-O35</f>
        <v/>
      </c>
      <c r="X35">
        <f>IF((L35+W35)+0.5*H35&lt;=Tables!$B$24,0,IF((L35+W35)+0.5*H35&lt;=Tables!$B$25,MIN(0.5*H35,0.5*((L35+W35)+0.5*H35-Tables!$B$24)),MIN(0.85*H35,0.85*((L35+W35)+0.5*H35-Tables!$B$25)+MIN(Tables!$B$26,0.5*H35))))</f>
        <v/>
      </c>
      <c r="Y35">
        <f>R35+SUMPRODUCT(((MAX(0,L35+W35+X35-(Tables!$B$22+IF(B35&gt;=Tables!$B$27,2*Tables!$B$23,0))))&gt;Tables!$A$31:$A$37)*((MAX(0,L35+W35+X35-(Tables!$B$22+IF(B35&gt;=Tables!$B$27,2*Tables!$B$23,0))))-Tables!$A$31:$A$37)*Tables!$C$31:$C$37)-O35</f>
        <v/>
      </c>
      <c r="Z35">
        <f>IF((L35+Y35)+0.5*H35&lt;=Tables!$B$24,0,IF((L35+Y35)+0.5*H35&lt;=Tables!$B$25,MIN(0.5*H35,0.5*((L35+Y35)+0.5*H35-Tables!$B$24)),MIN(0.85*H35,0.85*((L35+Y35)+0.5*H35-Tables!$B$25)+MIN(Tables!$B$26,0.5*H35))))</f>
        <v/>
      </c>
      <c r="AA35">
        <f>R35+SUMPRODUCT(((MAX(0,L35+Y35+Z35-(Tables!$B$22+IF(B35&gt;=Tables!$B$27,2*Tables!$B$23,0))))&gt;Tables!$A$31:$A$37)*((MAX(0,L35+Y35+Z35-(Tables!$B$22+IF(B35&gt;=Tables!$B$27,2*Tables!$B$23,0))))-Tables!$A$31:$A$37)*Tables!$C$31:$C$37)-O35</f>
        <v/>
      </c>
      <c r="AB35">
        <f>IF((L35+AA35)+0.5*H35&lt;=Tables!$B$24,0,IF((L35+AA35)+0.5*H35&lt;=Tables!$B$25,MIN(0.5*H35,0.5*((L35+AA35)+0.5*H35-Tables!$B$24)),MIN(0.85*H35,0.85*((L35+AA35)+0.5*H35-Tables!$B$25)+MIN(Tables!$B$26,0.5*H35))))</f>
        <v/>
      </c>
      <c r="AC35">
        <f>R35+SUMPRODUCT(((MAX(0,L35+AA35+AB35-(Tables!$B$22+IF(B35&gt;=Tables!$B$27,2*Tables!$B$23,0))))&gt;Tables!$A$31:$A$37)*((MAX(0,L35+AA35+AB35-(Tables!$B$22+IF(B35&gt;=Tables!$B$27,2*Tables!$B$23,0))))-Tables!$A$31:$A$37)*Tables!$C$31:$C$37)-O35</f>
        <v/>
      </c>
      <c r="AD35">
        <f>IF((L35+AC35)+0.5*H35&lt;=Tables!$B$24,0,IF((L35+AC35)+0.5*H35&lt;=Tables!$B$25,MIN(0.5*H35,0.5*((L35+AC35)+0.5*H35-Tables!$B$24)),MIN(0.85*H35,0.85*((L35+AC35)+0.5*H35-Tables!$B$25)+MIN(Tables!$B$26,0.5*H35))))</f>
        <v/>
      </c>
      <c r="AE35">
        <f>R35+SUMPRODUCT(((MAX(0,L35+AC35+AD35-(Tables!$B$22+IF(B35&gt;=Tables!$B$27,2*Tables!$B$23,0))))&gt;Tables!$A$31:$A$37)*((MAX(0,L35+AC35+AD35-(Tables!$B$22+IF(B35&gt;=Tables!$B$27,2*Tables!$B$23,0))))-Tables!$A$31:$A$37)*Tables!$C$31:$C$37)-O35</f>
        <v/>
      </c>
      <c r="AF35">
        <f>IF((L35+AE35)+0.5*H35&lt;=Tables!$B$24,0,IF((L35+AE35)+0.5*H35&lt;=Tables!$B$25,MIN(0.5*H35,0.5*((L35+AE35)+0.5*H35-Tables!$B$24)),MIN(0.85*H35,0.85*((L35+AE35)+0.5*H35-Tables!$B$25)+MIN(Tables!$B$26,0.5*H35))))</f>
        <v/>
      </c>
      <c r="AG35">
        <f>R35+SUMPRODUCT(((MAX(0,L35+AE35+AF35-(Tables!$B$22+IF(B35&gt;=Tables!$B$27,2*Tables!$B$23,0))))&gt;Tables!$A$31:$A$37)*((MAX(0,L35+AE35+AF35-(Tables!$B$22+IF(B35&gt;=Tables!$B$27,2*Tables!$B$23,0))))-Tables!$A$31:$A$37)*Tables!$C$31:$C$37)-O35</f>
        <v/>
      </c>
      <c r="AH35">
        <f>IF((L35+AG35)+0.5*H35&lt;=Tables!$B$24,0,IF((L35+AG35)+0.5*H35&lt;=Tables!$B$25,MIN(0.5*H35,0.5*((L35+AG35)+0.5*H35-Tables!$B$24)),MIN(0.85*H35,0.85*((L35+AG35)+0.5*H35-Tables!$B$25)+MIN(Tables!$B$26,0.5*H35))))</f>
        <v/>
      </c>
      <c r="AI35">
        <f>R35+SUMPRODUCT(((MAX(0,L35+AG35+AH35-(Tables!$B$22+IF(B35&gt;=Tables!$B$27,2*Tables!$B$23,0))))&gt;Tables!$A$31:$A$37)*((MAX(0,L35+AG35+AH35-(Tables!$B$22+IF(B35&gt;=Tables!$B$27,2*Tables!$B$23,0))))-Tables!$A$31:$A$37)*Tables!$C$31:$C$37)-O35</f>
        <v/>
      </c>
      <c r="AJ35">
        <f>IF((L35+AI35)+0.5*H35&lt;=Tables!$B$24,0,IF((L35+AI35)+0.5*H35&lt;=Tables!$B$25,MIN(0.5*H35,0.5*((L35+AI35)+0.5*H35-Tables!$B$24)),MIN(0.85*H35,0.85*((L35+AI35)+0.5*H35-Tables!$B$25)+MIN(Tables!$B$26,0.5*H35))))</f>
        <v/>
      </c>
      <c r="AK35">
        <f>R35+SUMPRODUCT(((MAX(0,L35+AI35+AJ35-(Tables!$B$22+IF(B35&gt;=Tables!$B$27,2*Tables!$B$23,0))))&gt;Tables!$A$31:$A$37)*((MAX(0,L35+AI35+AJ35-(Tables!$B$22+IF(B35&gt;=Tables!$B$27,2*Tables!$B$23,0))))-Tables!$A$31:$A$37)*Tables!$C$31:$C$37)-O35</f>
        <v/>
      </c>
      <c r="AL35">
        <f>IF((L35+AK35)+0.5*H35&lt;=Tables!$B$24,0,IF((L35+AK35)+0.5*H35&lt;=Tables!$B$25,MIN(0.5*H35,0.5*((L35+AK35)+0.5*H35-Tables!$B$24)),MIN(0.85*H35,0.85*((L35+AK35)+0.5*H35-Tables!$B$25)+MIN(Tables!$B$26,0.5*H35))))</f>
        <v/>
      </c>
      <c r="AM35">
        <f>R35+SUMPRODUCT(((MAX(0,L35+AK35+AL35-(Tables!$B$22+IF(B35&gt;=Tables!$B$27,2*Tables!$B$23,0))))&gt;Tables!$A$31:$A$37)*((MAX(0,L35+AK35+AL35-(Tables!$B$22+IF(B35&gt;=Tables!$B$27,2*Tables!$B$23,0))))-Tables!$A$31:$A$37)*Tables!$C$31:$C$37)-O35</f>
        <v/>
      </c>
      <c r="AN35">
        <f>IF((L35+AM35)+0.5*H35&lt;=Tables!$B$24,0,IF((L35+AM35)+0.5*H35&lt;=Tables!$B$25,MIN(0.5*H35,0.5*((L35+AM35)+0.5*H35-Tables!$B$24)),MIN(0.85*H35,0.85*((L35+AM35)+0.5*H35-Tables!$B$25)+MIN(Tables!$B$26,0.5*H35))))</f>
        <v/>
      </c>
      <c r="AO35">
        <f>R35+SUMPRODUCT(((MAX(0,L35+AM35+AN35-(Tables!$B$22+IF(B35&gt;=Tables!$B$27,2*Tables!$B$23,0))))&gt;Tables!$A$31:$A$37)*((MAX(0,L35+AM35+AN35-(Tables!$B$22+IF(B35&gt;=Tables!$B$27,2*Tables!$B$23,0))))-Tables!$A$31:$A$37)*Tables!$C$31:$C$37)-O35</f>
        <v/>
      </c>
      <c r="AP35">
        <f>IF((L35+AO35)+0.5*H35&lt;=Tables!$B$24,0,IF((L35+AO35)+0.5*H35&lt;=Tables!$B$25,MIN(0.5*H35,0.5*((L35+AO35)+0.5*H35-Tables!$B$24)),MIN(0.85*H35,0.85*((L35+AO35)+0.5*H35-Tables!$B$25)+MIN(Tables!$B$26,0.5*H35))))</f>
        <v/>
      </c>
      <c r="AQ35">
        <f>R35+SUMPRODUCT(((MAX(0,L35+AO35+AP35-(Tables!$B$22+IF(B35&gt;=Tables!$B$27,2*Tables!$B$23,0))))&gt;Tables!$A$31:$A$37)*((MAX(0,L35+AO35+AP35-(Tables!$B$22+IF(B35&gt;=Tables!$B$27,2*Tables!$B$23,0))))-Tables!$A$31:$A$37)*Tables!$C$31:$C$37)-O35</f>
        <v/>
      </c>
      <c r="AR35">
        <f>IF((L35+AQ35)+0.5*H35&lt;=Tables!$B$24,0,IF((L35+AQ35)+0.5*H35&lt;=Tables!$B$25,MIN(0.5*H35,0.5*((L35+AQ35)+0.5*H35-Tables!$B$24)),MIN(0.85*H35,0.85*((L35+AQ35)+0.5*H35-Tables!$B$25)+MIN(Tables!$B$26,0.5*H35))))</f>
        <v/>
      </c>
      <c r="AS35">
        <f>R35+SUMPRODUCT(((MAX(0,L35+AQ35+AR35-(Tables!$B$22+IF(B35&gt;=Tables!$B$27,2*Tables!$B$23,0))))&gt;Tables!$A$31:$A$37)*((MAX(0,L35+AQ35+AR35-(Tables!$B$22+IF(B35&gt;=Tables!$B$27,2*Tables!$B$23,0))))-Tables!$A$31:$A$37)*Tables!$C$31:$C$37)-O35</f>
        <v/>
      </c>
      <c r="AT35">
        <f>IF((L35+AS35)+0.5*H35&lt;=Tables!$B$24,0,IF((L35+AS35)+0.5*H35&lt;=Tables!$B$25,MIN(0.5*H35,0.5*((L35+AS35)+0.5*H35-Tables!$B$24)),MIN(0.85*H35,0.85*((L35+AS35)+0.5*H35-Tables!$B$25)+MIN(Tables!$B$26,0.5*H35))))</f>
        <v/>
      </c>
      <c r="AU35">
        <f>R35+SUMPRODUCT(((MAX(0,L35+AS35+AT35-(Tables!$B$22+IF(B35&gt;=Tables!$B$27,2*Tables!$B$23,0))))&gt;Tables!$A$31:$A$37)*((MAX(0,L35+AS35+AT35-(Tables!$B$22+IF(B35&gt;=Tables!$B$27,2*Tables!$B$23,0))))-Tables!$A$31:$A$37)*Tables!$C$31:$C$37)-O35</f>
        <v/>
      </c>
      <c r="AV35">
        <f>IF((L35+AU35)+0.5*H35&lt;=Tables!$B$24,0,IF((L35+AU35)+0.5*H35&lt;=Tables!$B$25,MIN(0.5*H35,0.5*((L35+AU35)+0.5*H35-Tables!$B$24)),MIN(0.85*H35,0.85*((L35+AU35)+0.5*H35-Tables!$B$25)+MIN(Tables!$B$26,0.5*H35))))</f>
        <v/>
      </c>
      <c r="AW35">
        <f>R35+SUMPRODUCT(((MAX(0,L35+AU35+AV35-(Tables!$B$22+IF(B35&gt;=Tables!$B$27,2*Tables!$B$23,0))))&gt;Tables!$A$31:$A$37)*((MAX(0,L35+AU35+AV35-(Tables!$B$22+IF(B35&gt;=Tables!$B$27,2*Tables!$B$23,0))))-Tables!$A$31:$A$37)*Tables!$C$31:$C$37)-O35</f>
        <v/>
      </c>
      <c r="AX35">
        <f>IF((L35+AW35)+0.5*H35&lt;=Tables!$B$24,0,IF((L35+AW35)+0.5*H35&lt;=Tables!$B$25,MIN(0.5*H35,0.5*((L35+AW35)+0.5*H35-Tables!$B$24)),MIN(0.85*H35,0.85*((L35+AW35)+0.5*H35-Tables!$B$25)+MIN(Tables!$B$26,0.5*H35))))</f>
        <v/>
      </c>
      <c r="AY35">
        <f>R35+SUMPRODUCT(((MAX(0,L35+AW35+AX35-(Tables!$B$22+IF(B35&gt;=Tables!$B$27,2*Tables!$B$23,0))))&gt;Tables!$A$31:$A$37)*((MAX(0,L35+AW35+AX35-(Tables!$B$22+IF(B35&gt;=Tables!$B$27,2*Tables!$B$23,0))))-Tables!$A$31:$A$37)*Tables!$C$31:$C$37)-O35</f>
        <v/>
      </c>
      <c r="AZ35">
        <f>IF((L35+AY35)+0.5*H35&lt;=Tables!$B$24,0,IF((L35+AY35)+0.5*H35&lt;=Tables!$B$25,MIN(0.5*H35,0.5*((L35+AY35)+0.5*H35-Tables!$B$24)),MIN(0.85*H35,0.85*((L35+AY35)+0.5*H35-Tables!$B$25)+MIN(Tables!$B$26,0.5*H35))))</f>
        <v/>
      </c>
      <c r="BA35">
        <f>R35+SUMPRODUCT(((MAX(0,L35+AY35+AZ35-(Tables!$B$22+IF(B35&gt;=Tables!$B$27,2*Tables!$B$23,0))))&gt;Tables!$A$31:$A$37)*((MAX(0,L35+AY35+AZ35-(Tables!$B$22+IF(B35&gt;=Tables!$B$27,2*Tables!$B$23,0))))-Tables!$A$31:$A$37)*Tables!$C$31:$C$37)-O35</f>
        <v/>
      </c>
      <c r="BB35">
        <f>IF((L35+BA35)+0.5*H35&lt;=Tables!$B$24,0,IF((L35+BA35)+0.5*H35&lt;=Tables!$B$25,MIN(0.5*H35,0.5*((L35+BA35)+0.5*H35-Tables!$B$24)),MIN(0.85*H35,0.85*((L35+BA35)+0.5*H35-Tables!$B$25)+MIN(Tables!$B$26,0.5*H35))))</f>
        <v/>
      </c>
      <c r="BC35">
        <f>R35+SUMPRODUCT(((MAX(0,L35+BA35+BB35-(Tables!$B$22+IF(B35&gt;=Tables!$B$27,2*Tables!$B$23,0))))&gt;Tables!$A$31:$A$37)*((MAX(0,L35+BA35+BB35-(Tables!$B$22+IF(B35&gt;=Tables!$B$27,2*Tables!$B$23,0))))-Tables!$A$31:$A$37)*Tables!$C$31:$C$37)-O35</f>
        <v/>
      </c>
      <c r="BD35">
        <f>IF((L35+BC35)+0.5*H35&lt;=Tables!$B$24,0,IF((L35+BC35)+0.5*H35&lt;=Tables!$B$25,MIN(0.5*H35,0.5*((L35+BC35)+0.5*H35-Tables!$B$24)),MIN(0.85*H35,0.85*((L35+BC35)+0.5*H35-Tables!$B$25)+MIN(Tables!$B$26,0.5*H35))))</f>
        <v/>
      </c>
      <c r="BE35">
        <f>R35+SUMPRODUCT(((MAX(0,L35+BC35+BD35-(Tables!$B$22+IF(B35&gt;=Tables!$B$27,2*Tables!$B$23,0))))&gt;Tables!$A$31:$A$37)*((MAX(0,L35+BC35+BD35-(Tables!$B$22+IF(B35&gt;=Tables!$B$27,2*Tables!$B$23,0))))-Tables!$A$31:$A$37)*Tables!$C$31:$C$37)-O35</f>
        <v/>
      </c>
      <c r="BF35">
        <f>IF((L35+BE35)+0.5*H35&lt;=Tables!$B$24,0,IF((L35+BE35)+0.5*H35&lt;=Tables!$B$25,MIN(0.5*H35,0.5*((L35+BE35)+0.5*H35-Tables!$B$24)),MIN(0.85*H35,0.85*((L35+BE35)+0.5*H35-Tables!$B$25)+MIN(Tables!$B$26,0.5*H35))))</f>
        <v/>
      </c>
      <c r="BG35">
        <f>R35+SUMPRODUCT(((MAX(0,L35+BE35+BF35-(Tables!$B$22+IF(B35&gt;=Tables!$B$27,2*Tables!$B$23,0))))&gt;Tables!$A$31:$A$37)*((MAX(0,L35+BE35+BF35-(Tables!$B$22+IF(B35&gt;=Tables!$B$27,2*Tables!$B$23,0))))-Tables!$A$31:$A$37)*Tables!$C$31:$C$37)-O35</f>
        <v/>
      </c>
      <c r="BH35">
        <f>IF((L35+BG35)+0.5*H35&lt;=Tables!$B$24,0,IF((L35+BG35)+0.5*H35&lt;=Tables!$B$25,MIN(0.5*H35,0.5*((L35+BG35)+0.5*H35-Tables!$B$24)),MIN(0.85*H35,0.85*((L35+BG35)+0.5*H35-Tables!$B$25)+MIN(Tables!$B$26,0.5*H35))))</f>
        <v/>
      </c>
      <c r="BI35">
        <f>R35+SUMPRODUCT(((MAX(0,L35+BG35+BH35-(Tables!$B$22+IF(B35&gt;=Tables!$B$27,2*Tables!$B$23,0))))&gt;Tables!$A$31:$A$37)*((MAX(0,L35+BG35+BH35-(Tables!$B$22+IF(B35&gt;=Tables!$B$27,2*Tables!$B$23,0))))-Tables!$A$31:$A$37)*Tables!$C$31:$C$37)-O35</f>
        <v/>
      </c>
      <c r="BJ35">
        <f>IF((L35+BI35)+0.5*H35&lt;=Tables!$B$24,0,IF((L35+BI35)+0.5*H35&lt;=Tables!$B$25,MIN(0.5*H35,0.5*((L35+BI35)+0.5*H35-Tables!$B$24)),MIN(0.85*H35,0.85*((L35+BI35)+0.5*H35-Tables!$B$25)+MIN(Tables!$B$26,0.5*H35))))</f>
        <v/>
      </c>
      <c r="BK35">
        <f>R35+SUMPRODUCT(((MAX(0,L35+BI35+BJ35-(Tables!$B$22+IF(B35&gt;=Tables!$B$27,2*Tables!$B$23,0))))&gt;Tables!$A$31:$A$37)*((MAX(0,L35+BI35+BJ35-(Tables!$B$22+IF(B35&gt;=Tables!$B$27,2*Tables!$B$23,0))))-Tables!$A$31:$A$37)*Tables!$C$31:$C$37)-O35</f>
        <v/>
      </c>
      <c r="BL35">
        <f>IF((L35+BK35)+0.5*H35&lt;=Tables!$B$24,0,IF((L35+BK35)+0.5*H35&lt;=Tables!$B$25,MIN(0.5*H35,0.5*((L35+BK35)+0.5*H35-Tables!$B$24)),MIN(0.85*H35,0.85*((L35+BK35)+0.5*H35-Tables!$B$25)+MIN(Tables!$B$26,0.5*H35))))</f>
        <v/>
      </c>
      <c r="BM35">
        <f>R35+SUMPRODUCT(((MAX(0,L35+BK35+BL35-(Tables!$B$22+IF(B35&gt;=Tables!$B$27,2*Tables!$B$23,0))))&gt;Tables!$A$31:$A$37)*((MAX(0,L35+BK35+BL35-(Tables!$B$22+IF(B35&gt;=Tables!$B$27,2*Tables!$B$23,0))))-Tables!$A$31:$A$37)*Tables!$C$31:$C$37)-O35</f>
        <v/>
      </c>
      <c r="BN35">
        <f>IF((L35+BM35)+0.5*H35&lt;=Tables!$B$24,0,IF((L35+BM35)+0.5*H35&lt;=Tables!$B$25,MIN(0.5*H35,0.5*((L35+BM35)+0.5*H35-Tables!$B$24)),MIN(0.85*H35,0.85*((L35+BM35)+0.5*H35-Tables!$B$25)+MIN(Tables!$B$26,0.5*H35))))</f>
        <v/>
      </c>
      <c r="BO35">
        <f>R35+SUMPRODUCT(((MAX(0,L35+BM35+BN35-(Tables!$B$22+IF(B35&gt;=Tables!$B$27,2*Tables!$B$23,0))))&gt;Tables!$A$31:$A$37)*((MAX(0,L35+BM35+BN35-(Tables!$B$22+IF(B35&gt;=Tables!$B$27,2*Tables!$B$23,0))))-Tables!$A$31:$A$37)*Tables!$C$31:$C$37)-O35</f>
        <v/>
      </c>
      <c r="BP35">
        <f>MIN(BO35,S35)</f>
        <v/>
      </c>
      <c r="BQ35">
        <f>L35+BP35</f>
        <v/>
      </c>
      <c r="BR35">
        <f>IF(BQ35+0.5*H35&lt;=Tables!$B$24,0,IF(BQ35+0.5*H35&lt;=Tables!$B$25,MIN(0.5*H35,0.5*(BQ35+0.5*H35-Tables!$B$24)),MIN(0.85*H35,0.85*(BQ35+0.5*H35-Tables!$B$25)+MIN(Tables!$B$26,0.5*H35))))</f>
        <v/>
      </c>
      <c r="BS35">
        <f>MAX(0,BQ35+BR35-(Tables!$B$22+IF(B35&gt;=Tables!$B$27,2*Tables!$B$23,0)))</f>
        <v/>
      </c>
      <c r="BT35">
        <f>SUMPRODUCT(((BS35)&gt;Tables!$A$31:$A$37)*((BS35)-Tables!$A$31:$A$37)*Tables!$C$31:$C$37)</f>
        <v/>
      </c>
      <c r="BU35">
        <f>MAX(0,G35-(H35+BQ35+Q35-BT35))</f>
        <v/>
      </c>
      <c r="BV35">
        <f>MIN(J35,BU35)</f>
        <v/>
      </c>
      <c r="BW35">
        <f>H35+BQ35+Q35+BV35</f>
        <v/>
      </c>
      <c r="BX35">
        <f>MAX(0,BW35-G35-BT35)</f>
        <v/>
      </c>
      <c r="BY35">
        <f>MAX(0,G35+BT35-BW35)</f>
        <v/>
      </c>
      <c r="BZ35">
        <f>IF(C35=0,0,MAX(0,I35-BQ35)*(1+D35))</f>
        <v/>
      </c>
      <c r="CA35">
        <f>IF(C35=0,0,MAX(0,J35-BV35)*(1+D35))</f>
        <v/>
      </c>
      <c r="CB35">
        <f>IF(C35=0,0,MAX(0,K35-Q35+BX35)*(1+D35))</f>
        <v/>
      </c>
      <c r="CC35">
        <f>IF(C35=0,CC34,BZ35+CA35+CB35)</f>
        <v/>
      </c>
      <c r="CD35">
        <f>IF(C35=0,9999,IF(OR(BY35&gt;0.0001,CC35&lt;=0.0001),B35,9999))</f>
        <v/>
      </c>
    </row>
    <row r="36">
      <c r="A36" t="n">
        <v>34</v>
      </c>
      <c r="B36">
        <f>Tables!$B$13+A36</f>
        <v/>
      </c>
      <c r="C36">
        <f>IF(B36&lt;=Tables!$B$18,1,0)</f>
        <v/>
      </c>
      <c r="D36">
        <f>INDEX(Tables!$B$83:$B$123,A36+1)</f>
        <v/>
      </c>
      <c r="E36">
        <f>IF(A36=0,0,INDEX(Tables!$B$83:$B$123,A36))</f>
        <v/>
      </c>
      <c r="F36">
        <f>IF(AND(C36=1,Tables!$B$17="YES",A36&gt;0,E36&lt;Tables!$B$16),Tables!$B$15,0)</f>
        <v/>
      </c>
      <c r="G36">
        <f>IF(C36=0,0,Tables!$B$8-IF(B36&gt;=Tables!$B$7,Tables!$B$6,0)+IF(B36&lt;Tables!$B$27,Tables!$B$9,Tables!$B$10)-F36)</f>
        <v/>
      </c>
      <c r="H36">
        <f>IF(C36=0,0,IF(B36&gt;=Tables!$B$78,Tables!$D$78,0)+IF(B36&gt;=Tables!$C$78,Tables!$E$78,0))</f>
        <v/>
      </c>
      <c r="I36">
        <f>IF(C36=0,0,BZ35)</f>
        <v/>
      </c>
      <c r="J36">
        <f>IF(C36=0,0,CA35)</f>
        <v/>
      </c>
      <c r="K36">
        <f>IF(C36=0,0,CB35)</f>
        <v/>
      </c>
      <c r="L36">
        <f>IF(C36=0,0,IF(B36&gt;=Tables!$B$19,MIN(I36,I36/VLOOKUP(B36,Tables!$A$41:$B$61,2,FALSE)),0))</f>
        <v/>
      </c>
      <c r="M36">
        <f>IF(L36+0.5*H36&lt;=Tables!$B$24,0,IF(L36+0.5*H36&lt;=Tables!$B$25,MIN(0.5*H36,0.5*(L36+0.5*H36-Tables!$B$24)),MIN(0.85*H36,0.85*(L36+0.5*H36-Tables!$B$25)+MIN(Tables!$B$26,0.5*H36))))</f>
        <v/>
      </c>
      <c r="N36">
        <f>MAX(0,L36+M36-(Tables!$B$22+IF(B36&gt;=Tables!$B$27,2*Tables!$B$23,0)))</f>
        <v/>
      </c>
      <c r="O36">
        <f>SUMPRODUCT(((N36)&gt;Tables!$A$31:$A$37)*((N36)-Tables!$A$31:$A$37)*Tables!$C$31:$C$37)</f>
        <v/>
      </c>
      <c r="P36">
        <f>G36-(H36+L36-O36)</f>
        <v/>
      </c>
      <c r="Q36">
        <f>MIN(K36,MAX(0,P36))</f>
        <v/>
      </c>
      <c r="R36">
        <f>MAX(0,P36-Q36)</f>
        <v/>
      </c>
      <c r="S36">
        <f>MAX(0,I36-L36)</f>
        <v/>
      </c>
      <c r="T36">
        <f>IF((L36+R36)+0.5*H36&lt;=Tables!$B$24,0,IF((L36+R36)+0.5*H36&lt;=Tables!$B$25,MIN(0.5*H36,0.5*((L36+R36)+0.5*H36-Tables!$B$24)),MIN(0.85*H36,0.85*((L36+R36)+0.5*H36-Tables!$B$25)+MIN(Tables!$B$26,0.5*H36))))</f>
        <v/>
      </c>
      <c r="U36">
        <f>R36+SUMPRODUCT(((MAX(0,L36+R36+T36-(Tables!$B$22+IF(B36&gt;=Tables!$B$27,2*Tables!$B$23,0))))&gt;Tables!$A$31:$A$37)*((MAX(0,L36+R36+T36-(Tables!$B$22+IF(B36&gt;=Tables!$B$27,2*Tables!$B$23,0))))-Tables!$A$31:$A$37)*Tables!$C$31:$C$37)-O36</f>
        <v/>
      </c>
      <c r="V36">
        <f>IF((L36+U36)+0.5*H36&lt;=Tables!$B$24,0,IF((L36+U36)+0.5*H36&lt;=Tables!$B$25,MIN(0.5*H36,0.5*((L36+U36)+0.5*H36-Tables!$B$24)),MIN(0.85*H36,0.85*((L36+U36)+0.5*H36-Tables!$B$25)+MIN(Tables!$B$26,0.5*H36))))</f>
        <v/>
      </c>
      <c r="W36">
        <f>R36+SUMPRODUCT(((MAX(0,L36+U36+V36-(Tables!$B$22+IF(B36&gt;=Tables!$B$27,2*Tables!$B$23,0))))&gt;Tables!$A$31:$A$37)*((MAX(0,L36+U36+V36-(Tables!$B$22+IF(B36&gt;=Tables!$B$27,2*Tables!$B$23,0))))-Tables!$A$31:$A$37)*Tables!$C$31:$C$37)-O36</f>
        <v/>
      </c>
      <c r="X36">
        <f>IF((L36+W36)+0.5*H36&lt;=Tables!$B$24,0,IF((L36+W36)+0.5*H36&lt;=Tables!$B$25,MIN(0.5*H36,0.5*((L36+W36)+0.5*H36-Tables!$B$24)),MIN(0.85*H36,0.85*((L36+W36)+0.5*H36-Tables!$B$25)+MIN(Tables!$B$26,0.5*H36))))</f>
        <v/>
      </c>
      <c r="Y36">
        <f>R36+SUMPRODUCT(((MAX(0,L36+W36+X36-(Tables!$B$22+IF(B36&gt;=Tables!$B$27,2*Tables!$B$23,0))))&gt;Tables!$A$31:$A$37)*((MAX(0,L36+W36+X36-(Tables!$B$22+IF(B36&gt;=Tables!$B$27,2*Tables!$B$23,0))))-Tables!$A$31:$A$37)*Tables!$C$31:$C$37)-O36</f>
        <v/>
      </c>
      <c r="Z36">
        <f>IF((L36+Y36)+0.5*H36&lt;=Tables!$B$24,0,IF((L36+Y36)+0.5*H36&lt;=Tables!$B$25,MIN(0.5*H36,0.5*((L36+Y36)+0.5*H36-Tables!$B$24)),MIN(0.85*H36,0.85*((L36+Y36)+0.5*H36-Tables!$B$25)+MIN(Tables!$B$26,0.5*H36))))</f>
        <v/>
      </c>
      <c r="AA36">
        <f>R36+SUMPRODUCT(((MAX(0,L36+Y36+Z36-(Tables!$B$22+IF(B36&gt;=Tables!$B$27,2*Tables!$B$23,0))))&gt;Tables!$A$31:$A$37)*((MAX(0,L36+Y36+Z36-(Tables!$B$22+IF(B36&gt;=Tables!$B$27,2*Tables!$B$23,0))))-Tables!$A$31:$A$37)*Tables!$C$31:$C$37)-O36</f>
        <v/>
      </c>
      <c r="AB36">
        <f>IF((L36+AA36)+0.5*H36&lt;=Tables!$B$24,0,IF((L36+AA36)+0.5*H36&lt;=Tables!$B$25,MIN(0.5*H36,0.5*((L36+AA36)+0.5*H36-Tables!$B$24)),MIN(0.85*H36,0.85*((L36+AA36)+0.5*H36-Tables!$B$25)+MIN(Tables!$B$26,0.5*H36))))</f>
        <v/>
      </c>
      <c r="AC36">
        <f>R36+SUMPRODUCT(((MAX(0,L36+AA36+AB36-(Tables!$B$22+IF(B36&gt;=Tables!$B$27,2*Tables!$B$23,0))))&gt;Tables!$A$31:$A$37)*((MAX(0,L36+AA36+AB36-(Tables!$B$22+IF(B36&gt;=Tables!$B$27,2*Tables!$B$23,0))))-Tables!$A$31:$A$37)*Tables!$C$31:$C$37)-O36</f>
        <v/>
      </c>
      <c r="AD36">
        <f>IF((L36+AC36)+0.5*H36&lt;=Tables!$B$24,0,IF((L36+AC36)+0.5*H36&lt;=Tables!$B$25,MIN(0.5*H36,0.5*((L36+AC36)+0.5*H36-Tables!$B$24)),MIN(0.85*H36,0.85*((L36+AC36)+0.5*H36-Tables!$B$25)+MIN(Tables!$B$26,0.5*H36))))</f>
        <v/>
      </c>
      <c r="AE36">
        <f>R36+SUMPRODUCT(((MAX(0,L36+AC36+AD36-(Tables!$B$22+IF(B36&gt;=Tables!$B$27,2*Tables!$B$23,0))))&gt;Tables!$A$31:$A$37)*((MAX(0,L36+AC36+AD36-(Tables!$B$22+IF(B36&gt;=Tables!$B$27,2*Tables!$B$23,0))))-Tables!$A$31:$A$37)*Tables!$C$31:$C$37)-O36</f>
        <v/>
      </c>
      <c r="AF36">
        <f>IF((L36+AE36)+0.5*H36&lt;=Tables!$B$24,0,IF((L36+AE36)+0.5*H36&lt;=Tables!$B$25,MIN(0.5*H36,0.5*((L36+AE36)+0.5*H36-Tables!$B$24)),MIN(0.85*H36,0.85*((L36+AE36)+0.5*H36-Tables!$B$25)+MIN(Tables!$B$26,0.5*H36))))</f>
        <v/>
      </c>
      <c r="AG36">
        <f>R36+SUMPRODUCT(((MAX(0,L36+AE36+AF36-(Tables!$B$22+IF(B36&gt;=Tables!$B$27,2*Tables!$B$23,0))))&gt;Tables!$A$31:$A$37)*((MAX(0,L36+AE36+AF36-(Tables!$B$22+IF(B36&gt;=Tables!$B$27,2*Tables!$B$23,0))))-Tables!$A$31:$A$37)*Tables!$C$31:$C$37)-O36</f>
        <v/>
      </c>
      <c r="AH36">
        <f>IF((L36+AG36)+0.5*H36&lt;=Tables!$B$24,0,IF((L36+AG36)+0.5*H36&lt;=Tables!$B$25,MIN(0.5*H36,0.5*((L36+AG36)+0.5*H36-Tables!$B$24)),MIN(0.85*H36,0.85*((L36+AG36)+0.5*H36-Tables!$B$25)+MIN(Tables!$B$26,0.5*H36))))</f>
        <v/>
      </c>
      <c r="AI36">
        <f>R36+SUMPRODUCT(((MAX(0,L36+AG36+AH36-(Tables!$B$22+IF(B36&gt;=Tables!$B$27,2*Tables!$B$23,0))))&gt;Tables!$A$31:$A$37)*((MAX(0,L36+AG36+AH36-(Tables!$B$22+IF(B36&gt;=Tables!$B$27,2*Tables!$B$23,0))))-Tables!$A$31:$A$37)*Tables!$C$31:$C$37)-O36</f>
        <v/>
      </c>
      <c r="AJ36">
        <f>IF((L36+AI36)+0.5*H36&lt;=Tables!$B$24,0,IF((L36+AI36)+0.5*H36&lt;=Tables!$B$25,MIN(0.5*H36,0.5*((L36+AI36)+0.5*H36-Tables!$B$24)),MIN(0.85*H36,0.85*((L36+AI36)+0.5*H36-Tables!$B$25)+MIN(Tables!$B$26,0.5*H36))))</f>
        <v/>
      </c>
      <c r="AK36">
        <f>R36+SUMPRODUCT(((MAX(0,L36+AI36+AJ36-(Tables!$B$22+IF(B36&gt;=Tables!$B$27,2*Tables!$B$23,0))))&gt;Tables!$A$31:$A$37)*((MAX(0,L36+AI36+AJ36-(Tables!$B$22+IF(B36&gt;=Tables!$B$27,2*Tables!$B$23,0))))-Tables!$A$31:$A$37)*Tables!$C$31:$C$37)-O36</f>
        <v/>
      </c>
      <c r="AL36">
        <f>IF((L36+AK36)+0.5*H36&lt;=Tables!$B$24,0,IF((L36+AK36)+0.5*H36&lt;=Tables!$B$25,MIN(0.5*H36,0.5*((L36+AK36)+0.5*H36-Tables!$B$24)),MIN(0.85*H36,0.85*((L36+AK36)+0.5*H36-Tables!$B$25)+MIN(Tables!$B$26,0.5*H36))))</f>
        <v/>
      </c>
      <c r="AM36">
        <f>R36+SUMPRODUCT(((MAX(0,L36+AK36+AL36-(Tables!$B$22+IF(B36&gt;=Tables!$B$27,2*Tables!$B$23,0))))&gt;Tables!$A$31:$A$37)*((MAX(0,L36+AK36+AL36-(Tables!$B$22+IF(B36&gt;=Tables!$B$27,2*Tables!$B$23,0))))-Tables!$A$31:$A$37)*Tables!$C$31:$C$37)-O36</f>
        <v/>
      </c>
      <c r="AN36">
        <f>IF((L36+AM36)+0.5*H36&lt;=Tables!$B$24,0,IF((L36+AM36)+0.5*H36&lt;=Tables!$B$25,MIN(0.5*H36,0.5*((L36+AM36)+0.5*H36-Tables!$B$24)),MIN(0.85*H36,0.85*((L36+AM36)+0.5*H36-Tables!$B$25)+MIN(Tables!$B$26,0.5*H36))))</f>
        <v/>
      </c>
      <c r="AO36">
        <f>R36+SUMPRODUCT(((MAX(0,L36+AM36+AN36-(Tables!$B$22+IF(B36&gt;=Tables!$B$27,2*Tables!$B$23,0))))&gt;Tables!$A$31:$A$37)*((MAX(0,L36+AM36+AN36-(Tables!$B$22+IF(B36&gt;=Tables!$B$27,2*Tables!$B$23,0))))-Tables!$A$31:$A$37)*Tables!$C$31:$C$37)-O36</f>
        <v/>
      </c>
      <c r="AP36">
        <f>IF((L36+AO36)+0.5*H36&lt;=Tables!$B$24,0,IF((L36+AO36)+0.5*H36&lt;=Tables!$B$25,MIN(0.5*H36,0.5*((L36+AO36)+0.5*H36-Tables!$B$24)),MIN(0.85*H36,0.85*((L36+AO36)+0.5*H36-Tables!$B$25)+MIN(Tables!$B$26,0.5*H36))))</f>
        <v/>
      </c>
      <c r="AQ36">
        <f>R36+SUMPRODUCT(((MAX(0,L36+AO36+AP36-(Tables!$B$22+IF(B36&gt;=Tables!$B$27,2*Tables!$B$23,0))))&gt;Tables!$A$31:$A$37)*((MAX(0,L36+AO36+AP36-(Tables!$B$22+IF(B36&gt;=Tables!$B$27,2*Tables!$B$23,0))))-Tables!$A$31:$A$37)*Tables!$C$31:$C$37)-O36</f>
        <v/>
      </c>
      <c r="AR36">
        <f>IF((L36+AQ36)+0.5*H36&lt;=Tables!$B$24,0,IF((L36+AQ36)+0.5*H36&lt;=Tables!$B$25,MIN(0.5*H36,0.5*((L36+AQ36)+0.5*H36-Tables!$B$24)),MIN(0.85*H36,0.85*((L36+AQ36)+0.5*H36-Tables!$B$25)+MIN(Tables!$B$26,0.5*H36))))</f>
        <v/>
      </c>
      <c r="AS36">
        <f>R36+SUMPRODUCT(((MAX(0,L36+AQ36+AR36-(Tables!$B$22+IF(B36&gt;=Tables!$B$27,2*Tables!$B$23,0))))&gt;Tables!$A$31:$A$37)*((MAX(0,L36+AQ36+AR36-(Tables!$B$22+IF(B36&gt;=Tables!$B$27,2*Tables!$B$23,0))))-Tables!$A$31:$A$37)*Tables!$C$31:$C$37)-O36</f>
        <v/>
      </c>
      <c r="AT36">
        <f>IF((L36+AS36)+0.5*H36&lt;=Tables!$B$24,0,IF((L36+AS36)+0.5*H36&lt;=Tables!$B$25,MIN(0.5*H36,0.5*((L36+AS36)+0.5*H36-Tables!$B$24)),MIN(0.85*H36,0.85*((L36+AS36)+0.5*H36-Tables!$B$25)+MIN(Tables!$B$26,0.5*H36))))</f>
        <v/>
      </c>
      <c r="AU36">
        <f>R36+SUMPRODUCT(((MAX(0,L36+AS36+AT36-(Tables!$B$22+IF(B36&gt;=Tables!$B$27,2*Tables!$B$23,0))))&gt;Tables!$A$31:$A$37)*((MAX(0,L36+AS36+AT36-(Tables!$B$22+IF(B36&gt;=Tables!$B$27,2*Tables!$B$23,0))))-Tables!$A$31:$A$37)*Tables!$C$31:$C$37)-O36</f>
        <v/>
      </c>
      <c r="AV36">
        <f>IF((L36+AU36)+0.5*H36&lt;=Tables!$B$24,0,IF((L36+AU36)+0.5*H36&lt;=Tables!$B$25,MIN(0.5*H36,0.5*((L36+AU36)+0.5*H36-Tables!$B$24)),MIN(0.85*H36,0.85*((L36+AU36)+0.5*H36-Tables!$B$25)+MIN(Tables!$B$26,0.5*H36))))</f>
        <v/>
      </c>
      <c r="AW36">
        <f>R36+SUMPRODUCT(((MAX(0,L36+AU36+AV36-(Tables!$B$22+IF(B36&gt;=Tables!$B$27,2*Tables!$B$23,0))))&gt;Tables!$A$31:$A$37)*((MAX(0,L36+AU36+AV36-(Tables!$B$22+IF(B36&gt;=Tables!$B$27,2*Tables!$B$23,0))))-Tables!$A$31:$A$37)*Tables!$C$31:$C$37)-O36</f>
        <v/>
      </c>
      <c r="AX36">
        <f>IF((L36+AW36)+0.5*H36&lt;=Tables!$B$24,0,IF((L36+AW36)+0.5*H36&lt;=Tables!$B$25,MIN(0.5*H36,0.5*((L36+AW36)+0.5*H36-Tables!$B$24)),MIN(0.85*H36,0.85*((L36+AW36)+0.5*H36-Tables!$B$25)+MIN(Tables!$B$26,0.5*H36))))</f>
        <v/>
      </c>
      <c r="AY36">
        <f>R36+SUMPRODUCT(((MAX(0,L36+AW36+AX36-(Tables!$B$22+IF(B36&gt;=Tables!$B$27,2*Tables!$B$23,0))))&gt;Tables!$A$31:$A$37)*((MAX(0,L36+AW36+AX36-(Tables!$B$22+IF(B36&gt;=Tables!$B$27,2*Tables!$B$23,0))))-Tables!$A$31:$A$37)*Tables!$C$31:$C$37)-O36</f>
        <v/>
      </c>
      <c r="AZ36">
        <f>IF((L36+AY36)+0.5*H36&lt;=Tables!$B$24,0,IF((L36+AY36)+0.5*H36&lt;=Tables!$B$25,MIN(0.5*H36,0.5*((L36+AY36)+0.5*H36-Tables!$B$24)),MIN(0.85*H36,0.85*((L36+AY36)+0.5*H36-Tables!$B$25)+MIN(Tables!$B$26,0.5*H36))))</f>
        <v/>
      </c>
      <c r="BA36">
        <f>R36+SUMPRODUCT(((MAX(0,L36+AY36+AZ36-(Tables!$B$22+IF(B36&gt;=Tables!$B$27,2*Tables!$B$23,0))))&gt;Tables!$A$31:$A$37)*((MAX(0,L36+AY36+AZ36-(Tables!$B$22+IF(B36&gt;=Tables!$B$27,2*Tables!$B$23,0))))-Tables!$A$31:$A$37)*Tables!$C$31:$C$37)-O36</f>
        <v/>
      </c>
      <c r="BB36">
        <f>IF((L36+BA36)+0.5*H36&lt;=Tables!$B$24,0,IF((L36+BA36)+0.5*H36&lt;=Tables!$B$25,MIN(0.5*H36,0.5*((L36+BA36)+0.5*H36-Tables!$B$24)),MIN(0.85*H36,0.85*((L36+BA36)+0.5*H36-Tables!$B$25)+MIN(Tables!$B$26,0.5*H36))))</f>
        <v/>
      </c>
      <c r="BC36">
        <f>R36+SUMPRODUCT(((MAX(0,L36+BA36+BB36-(Tables!$B$22+IF(B36&gt;=Tables!$B$27,2*Tables!$B$23,0))))&gt;Tables!$A$31:$A$37)*((MAX(0,L36+BA36+BB36-(Tables!$B$22+IF(B36&gt;=Tables!$B$27,2*Tables!$B$23,0))))-Tables!$A$31:$A$37)*Tables!$C$31:$C$37)-O36</f>
        <v/>
      </c>
      <c r="BD36">
        <f>IF((L36+BC36)+0.5*H36&lt;=Tables!$B$24,0,IF((L36+BC36)+0.5*H36&lt;=Tables!$B$25,MIN(0.5*H36,0.5*((L36+BC36)+0.5*H36-Tables!$B$24)),MIN(0.85*H36,0.85*((L36+BC36)+0.5*H36-Tables!$B$25)+MIN(Tables!$B$26,0.5*H36))))</f>
        <v/>
      </c>
      <c r="BE36">
        <f>R36+SUMPRODUCT(((MAX(0,L36+BC36+BD36-(Tables!$B$22+IF(B36&gt;=Tables!$B$27,2*Tables!$B$23,0))))&gt;Tables!$A$31:$A$37)*((MAX(0,L36+BC36+BD36-(Tables!$B$22+IF(B36&gt;=Tables!$B$27,2*Tables!$B$23,0))))-Tables!$A$31:$A$37)*Tables!$C$31:$C$37)-O36</f>
        <v/>
      </c>
      <c r="BF36">
        <f>IF((L36+BE36)+0.5*H36&lt;=Tables!$B$24,0,IF((L36+BE36)+0.5*H36&lt;=Tables!$B$25,MIN(0.5*H36,0.5*((L36+BE36)+0.5*H36-Tables!$B$24)),MIN(0.85*H36,0.85*((L36+BE36)+0.5*H36-Tables!$B$25)+MIN(Tables!$B$26,0.5*H36))))</f>
        <v/>
      </c>
      <c r="BG36">
        <f>R36+SUMPRODUCT(((MAX(0,L36+BE36+BF36-(Tables!$B$22+IF(B36&gt;=Tables!$B$27,2*Tables!$B$23,0))))&gt;Tables!$A$31:$A$37)*((MAX(0,L36+BE36+BF36-(Tables!$B$22+IF(B36&gt;=Tables!$B$27,2*Tables!$B$23,0))))-Tables!$A$31:$A$37)*Tables!$C$31:$C$37)-O36</f>
        <v/>
      </c>
      <c r="BH36">
        <f>IF((L36+BG36)+0.5*H36&lt;=Tables!$B$24,0,IF((L36+BG36)+0.5*H36&lt;=Tables!$B$25,MIN(0.5*H36,0.5*((L36+BG36)+0.5*H36-Tables!$B$24)),MIN(0.85*H36,0.85*((L36+BG36)+0.5*H36-Tables!$B$25)+MIN(Tables!$B$26,0.5*H36))))</f>
        <v/>
      </c>
      <c r="BI36">
        <f>R36+SUMPRODUCT(((MAX(0,L36+BG36+BH36-(Tables!$B$22+IF(B36&gt;=Tables!$B$27,2*Tables!$B$23,0))))&gt;Tables!$A$31:$A$37)*((MAX(0,L36+BG36+BH36-(Tables!$B$22+IF(B36&gt;=Tables!$B$27,2*Tables!$B$23,0))))-Tables!$A$31:$A$37)*Tables!$C$31:$C$37)-O36</f>
        <v/>
      </c>
      <c r="BJ36">
        <f>IF((L36+BI36)+0.5*H36&lt;=Tables!$B$24,0,IF((L36+BI36)+0.5*H36&lt;=Tables!$B$25,MIN(0.5*H36,0.5*((L36+BI36)+0.5*H36-Tables!$B$24)),MIN(0.85*H36,0.85*((L36+BI36)+0.5*H36-Tables!$B$25)+MIN(Tables!$B$26,0.5*H36))))</f>
        <v/>
      </c>
      <c r="BK36">
        <f>R36+SUMPRODUCT(((MAX(0,L36+BI36+BJ36-(Tables!$B$22+IF(B36&gt;=Tables!$B$27,2*Tables!$B$23,0))))&gt;Tables!$A$31:$A$37)*((MAX(0,L36+BI36+BJ36-(Tables!$B$22+IF(B36&gt;=Tables!$B$27,2*Tables!$B$23,0))))-Tables!$A$31:$A$37)*Tables!$C$31:$C$37)-O36</f>
        <v/>
      </c>
      <c r="BL36">
        <f>IF((L36+BK36)+0.5*H36&lt;=Tables!$B$24,0,IF((L36+BK36)+0.5*H36&lt;=Tables!$B$25,MIN(0.5*H36,0.5*((L36+BK36)+0.5*H36-Tables!$B$24)),MIN(0.85*H36,0.85*((L36+BK36)+0.5*H36-Tables!$B$25)+MIN(Tables!$B$26,0.5*H36))))</f>
        <v/>
      </c>
      <c r="BM36">
        <f>R36+SUMPRODUCT(((MAX(0,L36+BK36+BL36-(Tables!$B$22+IF(B36&gt;=Tables!$B$27,2*Tables!$B$23,0))))&gt;Tables!$A$31:$A$37)*((MAX(0,L36+BK36+BL36-(Tables!$B$22+IF(B36&gt;=Tables!$B$27,2*Tables!$B$23,0))))-Tables!$A$31:$A$37)*Tables!$C$31:$C$37)-O36</f>
        <v/>
      </c>
      <c r="BN36">
        <f>IF((L36+BM36)+0.5*H36&lt;=Tables!$B$24,0,IF((L36+BM36)+0.5*H36&lt;=Tables!$B$25,MIN(0.5*H36,0.5*((L36+BM36)+0.5*H36-Tables!$B$24)),MIN(0.85*H36,0.85*((L36+BM36)+0.5*H36-Tables!$B$25)+MIN(Tables!$B$26,0.5*H36))))</f>
        <v/>
      </c>
      <c r="BO36">
        <f>R36+SUMPRODUCT(((MAX(0,L36+BM36+BN36-(Tables!$B$22+IF(B36&gt;=Tables!$B$27,2*Tables!$B$23,0))))&gt;Tables!$A$31:$A$37)*((MAX(0,L36+BM36+BN36-(Tables!$B$22+IF(B36&gt;=Tables!$B$27,2*Tables!$B$23,0))))-Tables!$A$31:$A$37)*Tables!$C$31:$C$37)-O36</f>
        <v/>
      </c>
      <c r="BP36">
        <f>MIN(BO36,S36)</f>
        <v/>
      </c>
      <c r="BQ36">
        <f>L36+BP36</f>
        <v/>
      </c>
      <c r="BR36">
        <f>IF(BQ36+0.5*H36&lt;=Tables!$B$24,0,IF(BQ36+0.5*H36&lt;=Tables!$B$25,MIN(0.5*H36,0.5*(BQ36+0.5*H36-Tables!$B$24)),MIN(0.85*H36,0.85*(BQ36+0.5*H36-Tables!$B$25)+MIN(Tables!$B$26,0.5*H36))))</f>
        <v/>
      </c>
      <c r="BS36">
        <f>MAX(0,BQ36+BR36-(Tables!$B$22+IF(B36&gt;=Tables!$B$27,2*Tables!$B$23,0)))</f>
        <v/>
      </c>
      <c r="BT36">
        <f>SUMPRODUCT(((BS36)&gt;Tables!$A$31:$A$37)*((BS36)-Tables!$A$31:$A$37)*Tables!$C$31:$C$37)</f>
        <v/>
      </c>
      <c r="BU36">
        <f>MAX(0,G36-(H36+BQ36+Q36-BT36))</f>
        <v/>
      </c>
      <c r="BV36">
        <f>MIN(J36,BU36)</f>
        <v/>
      </c>
      <c r="BW36">
        <f>H36+BQ36+Q36+BV36</f>
        <v/>
      </c>
      <c r="BX36">
        <f>MAX(0,BW36-G36-BT36)</f>
        <v/>
      </c>
      <c r="BY36">
        <f>MAX(0,G36+BT36-BW36)</f>
        <v/>
      </c>
      <c r="BZ36">
        <f>IF(C36=0,0,MAX(0,I36-BQ36)*(1+D36))</f>
        <v/>
      </c>
      <c r="CA36">
        <f>IF(C36=0,0,MAX(0,J36-BV36)*(1+D36))</f>
        <v/>
      </c>
      <c r="CB36">
        <f>IF(C36=0,0,MAX(0,K36-Q36+BX36)*(1+D36))</f>
        <v/>
      </c>
      <c r="CC36">
        <f>IF(C36=0,CC35,BZ36+CA36+CB36)</f>
        <v/>
      </c>
      <c r="CD36">
        <f>IF(C36=0,9999,IF(OR(BY36&gt;0.0001,CC36&lt;=0.0001),B36,9999))</f>
        <v/>
      </c>
    </row>
    <row r="37">
      <c r="A37" t="n">
        <v>35</v>
      </c>
      <c r="B37">
        <f>Tables!$B$13+A37</f>
        <v/>
      </c>
      <c r="C37">
        <f>IF(B37&lt;=Tables!$B$18,1,0)</f>
        <v/>
      </c>
      <c r="D37">
        <f>INDEX(Tables!$B$83:$B$123,A37+1)</f>
        <v/>
      </c>
      <c r="E37">
        <f>IF(A37=0,0,INDEX(Tables!$B$83:$B$123,A37))</f>
        <v/>
      </c>
      <c r="F37">
        <f>IF(AND(C37=1,Tables!$B$17="YES",A37&gt;0,E37&lt;Tables!$B$16),Tables!$B$15,0)</f>
        <v/>
      </c>
      <c r="G37">
        <f>IF(C37=0,0,Tables!$B$8-IF(B37&gt;=Tables!$B$7,Tables!$B$6,0)+IF(B37&lt;Tables!$B$27,Tables!$B$9,Tables!$B$10)-F37)</f>
        <v/>
      </c>
      <c r="H37">
        <f>IF(C37=0,0,IF(B37&gt;=Tables!$B$78,Tables!$D$78,0)+IF(B37&gt;=Tables!$C$78,Tables!$E$78,0))</f>
        <v/>
      </c>
      <c r="I37">
        <f>IF(C37=0,0,BZ36)</f>
        <v/>
      </c>
      <c r="J37">
        <f>IF(C37=0,0,CA36)</f>
        <v/>
      </c>
      <c r="K37">
        <f>IF(C37=0,0,CB36)</f>
        <v/>
      </c>
      <c r="L37">
        <f>IF(C37=0,0,IF(B37&gt;=Tables!$B$19,MIN(I37,I37/VLOOKUP(B37,Tables!$A$41:$B$61,2,FALSE)),0))</f>
        <v/>
      </c>
      <c r="M37">
        <f>IF(L37+0.5*H37&lt;=Tables!$B$24,0,IF(L37+0.5*H37&lt;=Tables!$B$25,MIN(0.5*H37,0.5*(L37+0.5*H37-Tables!$B$24)),MIN(0.85*H37,0.85*(L37+0.5*H37-Tables!$B$25)+MIN(Tables!$B$26,0.5*H37))))</f>
        <v/>
      </c>
      <c r="N37">
        <f>MAX(0,L37+M37-(Tables!$B$22+IF(B37&gt;=Tables!$B$27,2*Tables!$B$23,0)))</f>
        <v/>
      </c>
      <c r="O37">
        <f>SUMPRODUCT(((N37)&gt;Tables!$A$31:$A$37)*((N37)-Tables!$A$31:$A$37)*Tables!$C$31:$C$37)</f>
        <v/>
      </c>
      <c r="P37">
        <f>G37-(H37+L37-O37)</f>
        <v/>
      </c>
      <c r="Q37">
        <f>MIN(K37,MAX(0,P37))</f>
        <v/>
      </c>
      <c r="R37">
        <f>MAX(0,P37-Q37)</f>
        <v/>
      </c>
      <c r="S37">
        <f>MAX(0,I37-L37)</f>
        <v/>
      </c>
      <c r="T37">
        <f>IF((L37+R37)+0.5*H37&lt;=Tables!$B$24,0,IF((L37+R37)+0.5*H37&lt;=Tables!$B$25,MIN(0.5*H37,0.5*((L37+R37)+0.5*H37-Tables!$B$24)),MIN(0.85*H37,0.85*((L37+R37)+0.5*H37-Tables!$B$25)+MIN(Tables!$B$26,0.5*H37))))</f>
        <v/>
      </c>
      <c r="U37">
        <f>R37+SUMPRODUCT(((MAX(0,L37+R37+T37-(Tables!$B$22+IF(B37&gt;=Tables!$B$27,2*Tables!$B$23,0))))&gt;Tables!$A$31:$A$37)*((MAX(0,L37+R37+T37-(Tables!$B$22+IF(B37&gt;=Tables!$B$27,2*Tables!$B$23,0))))-Tables!$A$31:$A$37)*Tables!$C$31:$C$37)-O37</f>
        <v/>
      </c>
      <c r="V37">
        <f>IF((L37+U37)+0.5*H37&lt;=Tables!$B$24,0,IF((L37+U37)+0.5*H37&lt;=Tables!$B$25,MIN(0.5*H37,0.5*((L37+U37)+0.5*H37-Tables!$B$24)),MIN(0.85*H37,0.85*((L37+U37)+0.5*H37-Tables!$B$25)+MIN(Tables!$B$26,0.5*H37))))</f>
        <v/>
      </c>
      <c r="W37">
        <f>R37+SUMPRODUCT(((MAX(0,L37+U37+V37-(Tables!$B$22+IF(B37&gt;=Tables!$B$27,2*Tables!$B$23,0))))&gt;Tables!$A$31:$A$37)*((MAX(0,L37+U37+V37-(Tables!$B$22+IF(B37&gt;=Tables!$B$27,2*Tables!$B$23,0))))-Tables!$A$31:$A$37)*Tables!$C$31:$C$37)-O37</f>
        <v/>
      </c>
      <c r="X37">
        <f>IF((L37+W37)+0.5*H37&lt;=Tables!$B$24,0,IF((L37+W37)+0.5*H37&lt;=Tables!$B$25,MIN(0.5*H37,0.5*((L37+W37)+0.5*H37-Tables!$B$24)),MIN(0.85*H37,0.85*((L37+W37)+0.5*H37-Tables!$B$25)+MIN(Tables!$B$26,0.5*H37))))</f>
        <v/>
      </c>
      <c r="Y37">
        <f>R37+SUMPRODUCT(((MAX(0,L37+W37+X37-(Tables!$B$22+IF(B37&gt;=Tables!$B$27,2*Tables!$B$23,0))))&gt;Tables!$A$31:$A$37)*((MAX(0,L37+W37+X37-(Tables!$B$22+IF(B37&gt;=Tables!$B$27,2*Tables!$B$23,0))))-Tables!$A$31:$A$37)*Tables!$C$31:$C$37)-O37</f>
        <v/>
      </c>
      <c r="Z37">
        <f>IF((L37+Y37)+0.5*H37&lt;=Tables!$B$24,0,IF((L37+Y37)+0.5*H37&lt;=Tables!$B$25,MIN(0.5*H37,0.5*((L37+Y37)+0.5*H37-Tables!$B$24)),MIN(0.85*H37,0.85*((L37+Y37)+0.5*H37-Tables!$B$25)+MIN(Tables!$B$26,0.5*H37))))</f>
        <v/>
      </c>
      <c r="AA37">
        <f>R37+SUMPRODUCT(((MAX(0,L37+Y37+Z37-(Tables!$B$22+IF(B37&gt;=Tables!$B$27,2*Tables!$B$23,0))))&gt;Tables!$A$31:$A$37)*((MAX(0,L37+Y37+Z37-(Tables!$B$22+IF(B37&gt;=Tables!$B$27,2*Tables!$B$23,0))))-Tables!$A$31:$A$37)*Tables!$C$31:$C$37)-O37</f>
        <v/>
      </c>
      <c r="AB37">
        <f>IF((L37+AA37)+0.5*H37&lt;=Tables!$B$24,0,IF((L37+AA37)+0.5*H37&lt;=Tables!$B$25,MIN(0.5*H37,0.5*((L37+AA37)+0.5*H37-Tables!$B$24)),MIN(0.85*H37,0.85*((L37+AA37)+0.5*H37-Tables!$B$25)+MIN(Tables!$B$26,0.5*H37))))</f>
        <v/>
      </c>
      <c r="AC37">
        <f>R37+SUMPRODUCT(((MAX(0,L37+AA37+AB37-(Tables!$B$22+IF(B37&gt;=Tables!$B$27,2*Tables!$B$23,0))))&gt;Tables!$A$31:$A$37)*((MAX(0,L37+AA37+AB37-(Tables!$B$22+IF(B37&gt;=Tables!$B$27,2*Tables!$B$23,0))))-Tables!$A$31:$A$37)*Tables!$C$31:$C$37)-O37</f>
        <v/>
      </c>
      <c r="AD37">
        <f>IF((L37+AC37)+0.5*H37&lt;=Tables!$B$24,0,IF((L37+AC37)+0.5*H37&lt;=Tables!$B$25,MIN(0.5*H37,0.5*((L37+AC37)+0.5*H37-Tables!$B$24)),MIN(0.85*H37,0.85*((L37+AC37)+0.5*H37-Tables!$B$25)+MIN(Tables!$B$26,0.5*H37))))</f>
        <v/>
      </c>
      <c r="AE37">
        <f>R37+SUMPRODUCT(((MAX(0,L37+AC37+AD37-(Tables!$B$22+IF(B37&gt;=Tables!$B$27,2*Tables!$B$23,0))))&gt;Tables!$A$31:$A$37)*((MAX(0,L37+AC37+AD37-(Tables!$B$22+IF(B37&gt;=Tables!$B$27,2*Tables!$B$23,0))))-Tables!$A$31:$A$37)*Tables!$C$31:$C$37)-O37</f>
        <v/>
      </c>
      <c r="AF37">
        <f>IF((L37+AE37)+0.5*H37&lt;=Tables!$B$24,0,IF((L37+AE37)+0.5*H37&lt;=Tables!$B$25,MIN(0.5*H37,0.5*((L37+AE37)+0.5*H37-Tables!$B$24)),MIN(0.85*H37,0.85*((L37+AE37)+0.5*H37-Tables!$B$25)+MIN(Tables!$B$26,0.5*H37))))</f>
        <v/>
      </c>
      <c r="AG37">
        <f>R37+SUMPRODUCT(((MAX(0,L37+AE37+AF37-(Tables!$B$22+IF(B37&gt;=Tables!$B$27,2*Tables!$B$23,0))))&gt;Tables!$A$31:$A$37)*((MAX(0,L37+AE37+AF37-(Tables!$B$22+IF(B37&gt;=Tables!$B$27,2*Tables!$B$23,0))))-Tables!$A$31:$A$37)*Tables!$C$31:$C$37)-O37</f>
        <v/>
      </c>
      <c r="AH37">
        <f>IF((L37+AG37)+0.5*H37&lt;=Tables!$B$24,0,IF((L37+AG37)+0.5*H37&lt;=Tables!$B$25,MIN(0.5*H37,0.5*((L37+AG37)+0.5*H37-Tables!$B$24)),MIN(0.85*H37,0.85*((L37+AG37)+0.5*H37-Tables!$B$25)+MIN(Tables!$B$26,0.5*H37))))</f>
        <v/>
      </c>
      <c r="AI37">
        <f>R37+SUMPRODUCT(((MAX(0,L37+AG37+AH37-(Tables!$B$22+IF(B37&gt;=Tables!$B$27,2*Tables!$B$23,0))))&gt;Tables!$A$31:$A$37)*((MAX(0,L37+AG37+AH37-(Tables!$B$22+IF(B37&gt;=Tables!$B$27,2*Tables!$B$23,0))))-Tables!$A$31:$A$37)*Tables!$C$31:$C$37)-O37</f>
        <v/>
      </c>
      <c r="AJ37">
        <f>IF((L37+AI37)+0.5*H37&lt;=Tables!$B$24,0,IF((L37+AI37)+0.5*H37&lt;=Tables!$B$25,MIN(0.5*H37,0.5*((L37+AI37)+0.5*H37-Tables!$B$24)),MIN(0.85*H37,0.85*((L37+AI37)+0.5*H37-Tables!$B$25)+MIN(Tables!$B$26,0.5*H37))))</f>
        <v/>
      </c>
      <c r="AK37">
        <f>R37+SUMPRODUCT(((MAX(0,L37+AI37+AJ37-(Tables!$B$22+IF(B37&gt;=Tables!$B$27,2*Tables!$B$23,0))))&gt;Tables!$A$31:$A$37)*((MAX(0,L37+AI37+AJ37-(Tables!$B$22+IF(B37&gt;=Tables!$B$27,2*Tables!$B$23,0))))-Tables!$A$31:$A$37)*Tables!$C$31:$C$37)-O37</f>
        <v/>
      </c>
      <c r="AL37">
        <f>IF((L37+AK37)+0.5*H37&lt;=Tables!$B$24,0,IF((L37+AK37)+0.5*H37&lt;=Tables!$B$25,MIN(0.5*H37,0.5*((L37+AK37)+0.5*H37-Tables!$B$24)),MIN(0.85*H37,0.85*((L37+AK37)+0.5*H37-Tables!$B$25)+MIN(Tables!$B$26,0.5*H37))))</f>
        <v/>
      </c>
      <c r="AM37">
        <f>R37+SUMPRODUCT(((MAX(0,L37+AK37+AL37-(Tables!$B$22+IF(B37&gt;=Tables!$B$27,2*Tables!$B$23,0))))&gt;Tables!$A$31:$A$37)*((MAX(0,L37+AK37+AL37-(Tables!$B$22+IF(B37&gt;=Tables!$B$27,2*Tables!$B$23,0))))-Tables!$A$31:$A$37)*Tables!$C$31:$C$37)-O37</f>
        <v/>
      </c>
      <c r="AN37">
        <f>IF((L37+AM37)+0.5*H37&lt;=Tables!$B$24,0,IF((L37+AM37)+0.5*H37&lt;=Tables!$B$25,MIN(0.5*H37,0.5*((L37+AM37)+0.5*H37-Tables!$B$24)),MIN(0.85*H37,0.85*((L37+AM37)+0.5*H37-Tables!$B$25)+MIN(Tables!$B$26,0.5*H37))))</f>
        <v/>
      </c>
      <c r="AO37">
        <f>R37+SUMPRODUCT(((MAX(0,L37+AM37+AN37-(Tables!$B$22+IF(B37&gt;=Tables!$B$27,2*Tables!$B$23,0))))&gt;Tables!$A$31:$A$37)*((MAX(0,L37+AM37+AN37-(Tables!$B$22+IF(B37&gt;=Tables!$B$27,2*Tables!$B$23,0))))-Tables!$A$31:$A$37)*Tables!$C$31:$C$37)-O37</f>
        <v/>
      </c>
      <c r="AP37">
        <f>IF((L37+AO37)+0.5*H37&lt;=Tables!$B$24,0,IF((L37+AO37)+0.5*H37&lt;=Tables!$B$25,MIN(0.5*H37,0.5*((L37+AO37)+0.5*H37-Tables!$B$24)),MIN(0.85*H37,0.85*((L37+AO37)+0.5*H37-Tables!$B$25)+MIN(Tables!$B$26,0.5*H37))))</f>
        <v/>
      </c>
      <c r="AQ37">
        <f>R37+SUMPRODUCT(((MAX(0,L37+AO37+AP37-(Tables!$B$22+IF(B37&gt;=Tables!$B$27,2*Tables!$B$23,0))))&gt;Tables!$A$31:$A$37)*((MAX(0,L37+AO37+AP37-(Tables!$B$22+IF(B37&gt;=Tables!$B$27,2*Tables!$B$23,0))))-Tables!$A$31:$A$37)*Tables!$C$31:$C$37)-O37</f>
        <v/>
      </c>
      <c r="AR37">
        <f>IF((L37+AQ37)+0.5*H37&lt;=Tables!$B$24,0,IF((L37+AQ37)+0.5*H37&lt;=Tables!$B$25,MIN(0.5*H37,0.5*((L37+AQ37)+0.5*H37-Tables!$B$24)),MIN(0.85*H37,0.85*((L37+AQ37)+0.5*H37-Tables!$B$25)+MIN(Tables!$B$26,0.5*H37))))</f>
        <v/>
      </c>
      <c r="AS37">
        <f>R37+SUMPRODUCT(((MAX(0,L37+AQ37+AR37-(Tables!$B$22+IF(B37&gt;=Tables!$B$27,2*Tables!$B$23,0))))&gt;Tables!$A$31:$A$37)*((MAX(0,L37+AQ37+AR37-(Tables!$B$22+IF(B37&gt;=Tables!$B$27,2*Tables!$B$23,0))))-Tables!$A$31:$A$37)*Tables!$C$31:$C$37)-O37</f>
        <v/>
      </c>
      <c r="AT37">
        <f>IF((L37+AS37)+0.5*H37&lt;=Tables!$B$24,0,IF((L37+AS37)+0.5*H37&lt;=Tables!$B$25,MIN(0.5*H37,0.5*((L37+AS37)+0.5*H37-Tables!$B$24)),MIN(0.85*H37,0.85*((L37+AS37)+0.5*H37-Tables!$B$25)+MIN(Tables!$B$26,0.5*H37))))</f>
        <v/>
      </c>
      <c r="AU37">
        <f>R37+SUMPRODUCT(((MAX(0,L37+AS37+AT37-(Tables!$B$22+IF(B37&gt;=Tables!$B$27,2*Tables!$B$23,0))))&gt;Tables!$A$31:$A$37)*((MAX(0,L37+AS37+AT37-(Tables!$B$22+IF(B37&gt;=Tables!$B$27,2*Tables!$B$23,0))))-Tables!$A$31:$A$37)*Tables!$C$31:$C$37)-O37</f>
        <v/>
      </c>
      <c r="AV37">
        <f>IF((L37+AU37)+0.5*H37&lt;=Tables!$B$24,0,IF((L37+AU37)+0.5*H37&lt;=Tables!$B$25,MIN(0.5*H37,0.5*((L37+AU37)+0.5*H37-Tables!$B$24)),MIN(0.85*H37,0.85*((L37+AU37)+0.5*H37-Tables!$B$25)+MIN(Tables!$B$26,0.5*H37))))</f>
        <v/>
      </c>
      <c r="AW37">
        <f>R37+SUMPRODUCT(((MAX(0,L37+AU37+AV37-(Tables!$B$22+IF(B37&gt;=Tables!$B$27,2*Tables!$B$23,0))))&gt;Tables!$A$31:$A$37)*((MAX(0,L37+AU37+AV37-(Tables!$B$22+IF(B37&gt;=Tables!$B$27,2*Tables!$B$23,0))))-Tables!$A$31:$A$37)*Tables!$C$31:$C$37)-O37</f>
        <v/>
      </c>
      <c r="AX37">
        <f>IF((L37+AW37)+0.5*H37&lt;=Tables!$B$24,0,IF((L37+AW37)+0.5*H37&lt;=Tables!$B$25,MIN(0.5*H37,0.5*((L37+AW37)+0.5*H37-Tables!$B$24)),MIN(0.85*H37,0.85*((L37+AW37)+0.5*H37-Tables!$B$25)+MIN(Tables!$B$26,0.5*H37))))</f>
        <v/>
      </c>
      <c r="AY37">
        <f>R37+SUMPRODUCT(((MAX(0,L37+AW37+AX37-(Tables!$B$22+IF(B37&gt;=Tables!$B$27,2*Tables!$B$23,0))))&gt;Tables!$A$31:$A$37)*((MAX(0,L37+AW37+AX37-(Tables!$B$22+IF(B37&gt;=Tables!$B$27,2*Tables!$B$23,0))))-Tables!$A$31:$A$37)*Tables!$C$31:$C$37)-O37</f>
        <v/>
      </c>
      <c r="AZ37">
        <f>IF((L37+AY37)+0.5*H37&lt;=Tables!$B$24,0,IF((L37+AY37)+0.5*H37&lt;=Tables!$B$25,MIN(0.5*H37,0.5*((L37+AY37)+0.5*H37-Tables!$B$24)),MIN(0.85*H37,0.85*((L37+AY37)+0.5*H37-Tables!$B$25)+MIN(Tables!$B$26,0.5*H37))))</f>
        <v/>
      </c>
      <c r="BA37">
        <f>R37+SUMPRODUCT(((MAX(0,L37+AY37+AZ37-(Tables!$B$22+IF(B37&gt;=Tables!$B$27,2*Tables!$B$23,0))))&gt;Tables!$A$31:$A$37)*((MAX(0,L37+AY37+AZ37-(Tables!$B$22+IF(B37&gt;=Tables!$B$27,2*Tables!$B$23,0))))-Tables!$A$31:$A$37)*Tables!$C$31:$C$37)-O37</f>
        <v/>
      </c>
      <c r="BB37">
        <f>IF((L37+BA37)+0.5*H37&lt;=Tables!$B$24,0,IF((L37+BA37)+0.5*H37&lt;=Tables!$B$25,MIN(0.5*H37,0.5*((L37+BA37)+0.5*H37-Tables!$B$24)),MIN(0.85*H37,0.85*((L37+BA37)+0.5*H37-Tables!$B$25)+MIN(Tables!$B$26,0.5*H37))))</f>
        <v/>
      </c>
      <c r="BC37">
        <f>R37+SUMPRODUCT(((MAX(0,L37+BA37+BB37-(Tables!$B$22+IF(B37&gt;=Tables!$B$27,2*Tables!$B$23,0))))&gt;Tables!$A$31:$A$37)*((MAX(0,L37+BA37+BB37-(Tables!$B$22+IF(B37&gt;=Tables!$B$27,2*Tables!$B$23,0))))-Tables!$A$31:$A$37)*Tables!$C$31:$C$37)-O37</f>
        <v/>
      </c>
      <c r="BD37">
        <f>IF((L37+BC37)+0.5*H37&lt;=Tables!$B$24,0,IF((L37+BC37)+0.5*H37&lt;=Tables!$B$25,MIN(0.5*H37,0.5*((L37+BC37)+0.5*H37-Tables!$B$24)),MIN(0.85*H37,0.85*((L37+BC37)+0.5*H37-Tables!$B$25)+MIN(Tables!$B$26,0.5*H37))))</f>
        <v/>
      </c>
      <c r="BE37">
        <f>R37+SUMPRODUCT(((MAX(0,L37+BC37+BD37-(Tables!$B$22+IF(B37&gt;=Tables!$B$27,2*Tables!$B$23,0))))&gt;Tables!$A$31:$A$37)*((MAX(0,L37+BC37+BD37-(Tables!$B$22+IF(B37&gt;=Tables!$B$27,2*Tables!$B$23,0))))-Tables!$A$31:$A$37)*Tables!$C$31:$C$37)-O37</f>
        <v/>
      </c>
      <c r="BF37">
        <f>IF((L37+BE37)+0.5*H37&lt;=Tables!$B$24,0,IF((L37+BE37)+0.5*H37&lt;=Tables!$B$25,MIN(0.5*H37,0.5*((L37+BE37)+0.5*H37-Tables!$B$24)),MIN(0.85*H37,0.85*((L37+BE37)+0.5*H37-Tables!$B$25)+MIN(Tables!$B$26,0.5*H37))))</f>
        <v/>
      </c>
      <c r="BG37">
        <f>R37+SUMPRODUCT(((MAX(0,L37+BE37+BF37-(Tables!$B$22+IF(B37&gt;=Tables!$B$27,2*Tables!$B$23,0))))&gt;Tables!$A$31:$A$37)*((MAX(0,L37+BE37+BF37-(Tables!$B$22+IF(B37&gt;=Tables!$B$27,2*Tables!$B$23,0))))-Tables!$A$31:$A$37)*Tables!$C$31:$C$37)-O37</f>
        <v/>
      </c>
      <c r="BH37">
        <f>IF((L37+BG37)+0.5*H37&lt;=Tables!$B$24,0,IF((L37+BG37)+0.5*H37&lt;=Tables!$B$25,MIN(0.5*H37,0.5*((L37+BG37)+0.5*H37-Tables!$B$24)),MIN(0.85*H37,0.85*((L37+BG37)+0.5*H37-Tables!$B$25)+MIN(Tables!$B$26,0.5*H37))))</f>
        <v/>
      </c>
      <c r="BI37">
        <f>R37+SUMPRODUCT(((MAX(0,L37+BG37+BH37-(Tables!$B$22+IF(B37&gt;=Tables!$B$27,2*Tables!$B$23,0))))&gt;Tables!$A$31:$A$37)*((MAX(0,L37+BG37+BH37-(Tables!$B$22+IF(B37&gt;=Tables!$B$27,2*Tables!$B$23,0))))-Tables!$A$31:$A$37)*Tables!$C$31:$C$37)-O37</f>
        <v/>
      </c>
      <c r="BJ37">
        <f>IF((L37+BI37)+0.5*H37&lt;=Tables!$B$24,0,IF((L37+BI37)+0.5*H37&lt;=Tables!$B$25,MIN(0.5*H37,0.5*((L37+BI37)+0.5*H37-Tables!$B$24)),MIN(0.85*H37,0.85*((L37+BI37)+0.5*H37-Tables!$B$25)+MIN(Tables!$B$26,0.5*H37))))</f>
        <v/>
      </c>
      <c r="BK37">
        <f>R37+SUMPRODUCT(((MAX(0,L37+BI37+BJ37-(Tables!$B$22+IF(B37&gt;=Tables!$B$27,2*Tables!$B$23,0))))&gt;Tables!$A$31:$A$37)*((MAX(0,L37+BI37+BJ37-(Tables!$B$22+IF(B37&gt;=Tables!$B$27,2*Tables!$B$23,0))))-Tables!$A$31:$A$37)*Tables!$C$31:$C$37)-O37</f>
        <v/>
      </c>
      <c r="BL37">
        <f>IF((L37+BK37)+0.5*H37&lt;=Tables!$B$24,0,IF((L37+BK37)+0.5*H37&lt;=Tables!$B$25,MIN(0.5*H37,0.5*((L37+BK37)+0.5*H37-Tables!$B$24)),MIN(0.85*H37,0.85*((L37+BK37)+0.5*H37-Tables!$B$25)+MIN(Tables!$B$26,0.5*H37))))</f>
        <v/>
      </c>
      <c r="BM37">
        <f>R37+SUMPRODUCT(((MAX(0,L37+BK37+BL37-(Tables!$B$22+IF(B37&gt;=Tables!$B$27,2*Tables!$B$23,0))))&gt;Tables!$A$31:$A$37)*((MAX(0,L37+BK37+BL37-(Tables!$B$22+IF(B37&gt;=Tables!$B$27,2*Tables!$B$23,0))))-Tables!$A$31:$A$37)*Tables!$C$31:$C$37)-O37</f>
        <v/>
      </c>
      <c r="BN37">
        <f>IF((L37+BM37)+0.5*H37&lt;=Tables!$B$24,0,IF((L37+BM37)+0.5*H37&lt;=Tables!$B$25,MIN(0.5*H37,0.5*((L37+BM37)+0.5*H37-Tables!$B$24)),MIN(0.85*H37,0.85*((L37+BM37)+0.5*H37-Tables!$B$25)+MIN(Tables!$B$26,0.5*H37))))</f>
        <v/>
      </c>
      <c r="BO37">
        <f>R37+SUMPRODUCT(((MAX(0,L37+BM37+BN37-(Tables!$B$22+IF(B37&gt;=Tables!$B$27,2*Tables!$B$23,0))))&gt;Tables!$A$31:$A$37)*((MAX(0,L37+BM37+BN37-(Tables!$B$22+IF(B37&gt;=Tables!$B$27,2*Tables!$B$23,0))))-Tables!$A$31:$A$37)*Tables!$C$31:$C$37)-O37</f>
        <v/>
      </c>
      <c r="BP37">
        <f>MIN(BO37,S37)</f>
        <v/>
      </c>
      <c r="BQ37">
        <f>L37+BP37</f>
        <v/>
      </c>
      <c r="BR37">
        <f>IF(BQ37+0.5*H37&lt;=Tables!$B$24,0,IF(BQ37+0.5*H37&lt;=Tables!$B$25,MIN(0.5*H37,0.5*(BQ37+0.5*H37-Tables!$B$24)),MIN(0.85*H37,0.85*(BQ37+0.5*H37-Tables!$B$25)+MIN(Tables!$B$26,0.5*H37))))</f>
        <v/>
      </c>
      <c r="BS37">
        <f>MAX(0,BQ37+BR37-(Tables!$B$22+IF(B37&gt;=Tables!$B$27,2*Tables!$B$23,0)))</f>
        <v/>
      </c>
      <c r="BT37">
        <f>SUMPRODUCT(((BS37)&gt;Tables!$A$31:$A$37)*((BS37)-Tables!$A$31:$A$37)*Tables!$C$31:$C$37)</f>
        <v/>
      </c>
      <c r="BU37">
        <f>MAX(0,G37-(H37+BQ37+Q37-BT37))</f>
        <v/>
      </c>
      <c r="BV37">
        <f>MIN(J37,BU37)</f>
        <v/>
      </c>
      <c r="BW37">
        <f>H37+BQ37+Q37+BV37</f>
        <v/>
      </c>
      <c r="BX37">
        <f>MAX(0,BW37-G37-BT37)</f>
        <v/>
      </c>
      <c r="BY37">
        <f>MAX(0,G37+BT37-BW37)</f>
        <v/>
      </c>
      <c r="BZ37">
        <f>IF(C37=0,0,MAX(0,I37-BQ37)*(1+D37))</f>
        <v/>
      </c>
      <c r="CA37">
        <f>IF(C37=0,0,MAX(0,J37-BV37)*(1+D37))</f>
        <v/>
      </c>
      <c r="CB37">
        <f>IF(C37=0,0,MAX(0,K37-Q37+BX37)*(1+D37))</f>
        <v/>
      </c>
      <c r="CC37">
        <f>IF(C37=0,CC36,BZ37+CA37+CB37)</f>
        <v/>
      </c>
      <c r="CD37">
        <f>IF(C37=0,9999,IF(OR(BY37&gt;0.0001,CC37&lt;=0.0001),B37,9999))</f>
        <v/>
      </c>
    </row>
    <row r="38">
      <c r="A38" t="n">
        <v>36</v>
      </c>
      <c r="B38">
        <f>Tables!$B$13+A38</f>
        <v/>
      </c>
      <c r="C38">
        <f>IF(B38&lt;=Tables!$B$18,1,0)</f>
        <v/>
      </c>
      <c r="D38">
        <f>INDEX(Tables!$B$83:$B$123,A38+1)</f>
        <v/>
      </c>
      <c r="E38">
        <f>IF(A38=0,0,INDEX(Tables!$B$83:$B$123,A38))</f>
        <v/>
      </c>
      <c r="F38">
        <f>IF(AND(C38=1,Tables!$B$17="YES",A38&gt;0,E38&lt;Tables!$B$16),Tables!$B$15,0)</f>
        <v/>
      </c>
      <c r="G38">
        <f>IF(C38=0,0,Tables!$B$8-IF(B38&gt;=Tables!$B$7,Tables!$B$6,0)+IF(B38&lt;Tables!$B$27,Tables!$B$9,Tables!$B$10)-F38)</f>
        <v/>
      </c>
      <c r="H38">
        <f>IF(C38=0,0,IF(B38&gt;=Tables!$B$78,Tables!$D$78,0)+IF(B38&gt;=Tables!$C$78,Tables!$E$78,0))</f>
        <v/>
      </c>
      <c r="I38">
        <f>IF(C38=0,0,BZ37)</f>
        <v/>
      </c>
      <c r="J38">
        <f>IF(C38=0,0,CA37)</f>
        <v/>
      </c>
      <c r="K38">
        <f>IF(C38=0,0,CB37)</f>
        <v/>
      </c>
      <c r="L38">
        <f>IF(C38=0,0,IF(B38&gt;=Tables!$B$19,MIN(I38,I38/VLOOKUP(B38,Tables!$A$41:$B$61,2,FALSE)),0))</f>
        <v/>
      </c>
      <c r="M38">
        <f>IF(L38+0.5*H38&lt;=Tables!$B$24,0,IF(L38+0.5*H38&lt;=Tables!$B$25,MIN(0.5*H38,0.5*(L38+0.5*H38-Tables!$B$24)),MIN(0.85*H38,0.85*(L38+0.5*H38-Tables!$B$25)+MIN(Tables!$B$26,0.5*H38))))</f>
        <v/>
      </c>
      <c r="N38">
        <f>MAX(0,L38+M38-(Tables!$B$22+IF(B38&gt;=Tables!$B$27,2*Tables!$B$23,0)))</f>
        <v/>
      </c>
      <c r="O38">
        <f>SUMPRODUCT(((N38)&gt;Tables!$A$31:$A$37)*((N38)-Tables!$A$31:$A$37)*Tables!$C$31:$C$37)</f>
        <v/>
      </c>
      <c r="P38">
        <f>G38-(H38+L38-O38)</f>
        <v/>
      </c>
      <c r="Q38">
        <f>MIN(K38,MAX(0,P38))</f>
        <v/>
      </c>
      <c r="R38">
        <f>MAX(0,P38-Q38)</f>
        <v/>
      </c>
      <c r="S38">
        <f>MAX(0,I38-L38)</f>
        <v/>
      </c>
      <c r="T38">
        <f>IF((L38+R38)+0.5*H38&lt;=Tables!$B$24,0,IF((L38+R38)+0.5*H38&lt;=Tables!$B$25,MIN(0.5*H38,0.5*((L38+R38)+0.5*H38-Tables!$B$24)),MIN(0.85*H38,0.85*((L38+R38)+0.5*H38-Tables!$B$25)+MIN(Tables!$B$26,0.5*H38))))</f>
        <v/>
      </c>
      <c r="U38">
        <f>R38+SUMPRODUCT(((MAX(0,L38+R38+T38-(Tables!$B$22+IF(B38&gt;=Tables!$B$27,2*Tables!$B$23,0))))&gt;Tables!$A$31:$A$37)*((MAX(0,L38+R38+T38-(Tables!$B$22+IF(B38&gt;=Tables!$B$27,2*Tables!$B$23,0))))-Tables!$A$31:$A$37)*Tables!$C$31:$C$37)-O38</f>
        <v/>
      </c>
      <c r="V38">
        <f>IF((L38+U38)+0.5*H38&lt;=Tables!$B$24,0,IF((L38+U38)+0.5*H38&lt;=Tables!$B$25,MIN(0.5*H38,0.5*((L38+U38)+0.5*H38-Tables!$B$24)),MIN(0.85*H38,0.85*((L38+U38)+0.5*H38-Tables!$B$25)+MIN(Tables!$B$26,0.5*H38))))</f>
        <v/>
      </c>
      <c r="W38">
        <f>R38+SUMPRODUCT(((MAX(0,L38+U38+V38-(Tables!$B$22+IF(B38&gt;=Tables!$B$27,2*Tables!$B$23,0))))&gt;Tables!$A$31:$A$37)*((MAX(0,L38+U38+V38-(Tables!$B$22+IF(B38&gt;=Tables!$B$27,2*Tables!$B$23,0))))-Tables!$A$31:$A$37)*Tables!$C$31:$C$37)-O38</f>
        <v/>
      </c>
      <c r="X38">
        <f>IF((L38+W38)+0.5*H38&lt;=Tables!$B$24,0,IF((L38+W38)+0.5*H38&lt;=Tables!$B$25,MIN(0.5*H38,0.5*((L38+W38)+0.5*H38-Tables!$B$24)),MIN(0.85*H38,0.85*((L38+W38)+0.5*H38-Tables!$B$25)+MIN(Tables!$B$26,0.5*H38))))</f>
        <v/>
      </c>
      <c r="Y38">
        <f>R38+SUMPRODUCT(((MAX(0,L38+W38+X38-(Tables!$B$22+IF(B38&gt;=Tables!$B$27,2*Tables!$B$23,0))))&gt;Tables!$A$31:$A$37)*((MAX(0,L38+W38+X38-(Tables!$B$22+IF(B38&gt;=Tables!$B$27,2*Tables!$B$23,0))))-Tables!$A$31:$A$37)*Tables!$C$31:$C$37)-O38</f>
        <v/>
      </c>
      <c r="Z38">
        <f>IF((L38+Y38)+0.5*H38&lt;=Tables!$B$24,0,IF((L38+Y38)+0.5*H38&lt;=Tables!$B$25,MIN(0.5*H38,0.5*((L38+Y38)+0.5*H38-Tables!$B$24)),MIN(0.85*H38,0.85*((L38+Y38)+0.5*H38-Tables!$B$25)+MIN(Tables!$B$26,0.5*H38))))</f>
        <v/>
      </c>
      <c r="AA38">
        <f>R38+SUMPRODUCT(((MAX(0,L38+Y38+Z38-(Tables!$B$22+IF(B38&gt;=Tables!$B$27,2*Tables!$B$23,0))))&gt;Tables!$A$31:$A$37)*((MAX(0,L38+Y38+Z38-(Tables!$B$22+IF(B38&gt;=Tables!$B$27,2*Tables!$B$23,0))))-Tables!$A$31:$A$37)*Tables!$C$31:$C$37)-O38</f>
        <v/>
      </c>
      <c r="AB38">
        <f>IF((L38+AA38)+0.5*H38&lt;=Tables!$B$24,0,IF((L38+AA38)+0.5*H38&lt;=Tables!$B$25,MIN(0.5*H38,0.5*((L38+AA38)+0.5*H38-Tables!$B$24)),MIN(0.85*H38,0.85*((L38+AA38)+0.5*H38-Tables!$B$25)+MIN(Tables!$B$26,0.5*H38))))</f>
        <v/>
      </c>
      <c r="AC38">
        <f>R38+SUMPRODUCT(((MAX(0,L38+AA38+AB38-(Tables!$B$22+IF(B38&gt;=Tables!$B$27,2*Tables!$B$23,0))))&gt;Tables!$A$31:$A$37)*((MAX(0,L38+AA38+AB38-(Tables!$B$22+IF(B38&gt;=Tables!$B$27,2*Tables!$B$23,0))))-Tables!$A$31:$A$37)*Tables!$C$31:$C$37)-O38</f>
        <v/>
      </c>
      <c r="AD38">
        <f>IF((L38+AC38)+0.5*H38&lt;=Tables!$B$24,0,IF((L38+AC38)+0.5*H38&lt;=Tables!$B$25,MIN(0.5*H38,0.5*((L38+AC38)+0.5*H38-Tables!$B$24)),MIN(0.85*H38,0.85*((L38+AC38)+0.5*H38-Tables!$B$25)+MIN(Tables!$B$26,0.5*H38))))</f>
        <v/>
      </c>
      <c r="AE38">
        <f>R38+SUMPRODUCT(((MAX(0,L38+AC38+AD38-(Tables!$B$22+IF(B38&gt;=Tables!$B$27,2*Tables!$B$23,0))))&gt;Tables!$A$31:$A$37)*((MAX(0,L38+AC38+AD38-(Tables!$B$22+IF(B38&gt;=Tables!$B$27,2*Tables!$B$23,0))))-Tables!$A$31:$A$37)*Tables!$C$31:$C$37)-O38</f>
        <v/>
      </c>
      <c r="AF38">
        <f>IF((L38+AE38)+0.5*H38&lt;=Tables!$B$24,0,IF((L38+AE38)+0.5*H38&lt;=Tables!$B$25,MIN(0.5*H38,0.5*((L38+AE38)+0.5*H38-Tables!$B$24)),MIN(0.85*H38,0.85*((L38+AE38)+0.5*H38-Tables!$B$25)+MIN(Tables!$B$26,0.5*H38))))</f>
        <v/>
      </c>
      <c r="AG38">
        <f>R38+SUMPRODUCT(((MAX(0,L38+AE38+AF38-(Tables!$B$22+IF(B38&gt;=Tables!$B$27,2*Tables!$B$23,0))))&gt;Tables!$A$31:$A$37)*((MAX(0,L38+AE38+AF38-(Tables!$B$22+IF(B38&gt;=Tables!$B$27,2*Tables!$B$23,0))))-Tables!$A$31:$A$37)*Tables!$C$31:$C$37)-O38</f>
        <v/>
      </c>
      <c r="AH38">
        <f>IF((L38+AG38)+0.5*H38&lt;=Tables!$B$24,0,IF((L38+AG38)+0.5*H38&lt;=Tables!$B$25,MIN(0.5*H38,0.5*((L38+AG38)+0.5*H38-Tables!$B$24)),MIN(0.85*H38,0.85*((L38+AG38)+0.5*H38-Tables!$B$25)+MIN(Tables!$B$26,0.5*H38))))</f>
        <v/>
      </c>
      <c r="AI38">
        <f>R38+SUMPRODUCT(((MAX(0,L38+AG38+AH38-(Tables!$B$22+IF(B38&gt;=Tables!$B$27,2*Tables!$B$23,0))))&gt;Tables!$A$31:$A$37)*((MAX(0,L38+AG38+AH38-(Tables!$B$22+IF(B38&gt;=Tables!$B$27,2*Tables!$B$23,0))))-Tables!$A$31:$A$37)*Tables!$C$31:$C$37)-O38</f>
        <v/>
      </c>
      <c r="AJ38">
        <f>IF((L38+AI38)+0.5*H38&lt;=Tables!$B$24,0,IF((L38+AI38)+0.5*H38&lt;=Tables!$B$25,MIN(0.5*H38,0.5*((L38+AI38)+0.5*H38-Tables!$B$24)),MIN(0.85*H38,0.85*((L38+AI38)+0.5*H38-Tables!$B$25)+MIN(Tables!$B$26,0.5*H38))))</f>
        <v/>
      </c>
      <c r="AK38">
        <f>R38+SUMPRODUCT(((MAX(0,L38+AI38+AJ38-(Tables!$B$22+IF(B38&gt;=Tables!$B$27,2*Tables!$B$23,0))))&gt;Tables!$A$31:$A$37)*((MAX(0,L38+AI38+AJ38-(Tables!$B$22+IF(B38&gt;=Tables!$B$27,2*Tables!$B$23,0))))-Tables!$A$31:$A$37)*Tables!$C$31:$C$37)-O38</f>
        <v/>
      </c>
      <c r="AL38">
        <f>IF((L38+AK38)+0.5*H38&lt;=Tables!$B$24,0,IF((L38+AK38)+0.5*H38&lt;=Tables!$B$25,MIN(0.5*H38,0.5*((L38+AK38)+0.5*H38-Tables!$B$24)),MIN(0.85*H38,0.85*((L38+AK38)+0.5*H38-Tables!$B$25)+MIN(Tables!$B$26,0.5*H38))))</f>
        <v/>
      </c>
      <c r="AM38">
        <f>R38+SUMPRODUCT(((MAX(0,L38+AK38+AL38-(Tables!$B$22+IF(B38&gt;=Tables!$B$27,2*Tables!$B$23,0))))&gt;Tables!$A$31:$A$37)*((MAX(0,L38+AK38+AL38-(Tables!$B$22+IF(B38&gt;=Tables!$B$27,2*Tables!$B$23,0))))-Tables!$A$31:$A$37)*Tables!$C$31:$C$37)-O38</f>
        <v/>
      </c>
      <c r="AN38">
        <f>IF((L38+AM38)+0.5*H38&lt;=Tables!$B$24,0,IF((L38+AM38)+0.5*H38&lt;=Tables!$B$25,MIN(0.5*H38,0.5*((L38+AM38)+0.5*H38-Tables!$B$24)),MIN(0.85*H38,0.85*((L38+AM38)+0.5*H38-Tables!$B$25)+MIN(Tables!$B$26,0.5*H38))))</f>
        <v/>
      </c>
      <c r="AO38">
        <f>R38+SUMPRODUCT(((MAX(0,L38+AM38+AN38-(Tables!$B$22+IF(B38&gt;=Tables!$B$27,2*Tables!$B$23,0))))&gt;Tables!$A$31:$A$37)*((MAX(0,L38+AM38+AN38-(Tables!$B$22+IF(B38&gt;=Tables!$B$27,2*Tables!$B$23,0))))-Tables!$A$31:$A$37)*Tables!$C$31:$C$37)-O38</f>
        <v/>
      </c>
      <c r="AP38">
        <f>IF((L38+AO38)+0.5*H38&lt;=Tables!$B$24,0,IF((L38+AO38)+0.5*H38&lt;=Tables!$B$25,MIN(0.5*H38,0.5*((L38+AO38)+0.5*H38-Tables!$B$24)),MIN(0.85*H38,0.85*((L38+AO38)+0.5*H38-Tables!$B$25)+MIN(Tables!$B$26,0.5*H38))))</f>
        <v/>
      </c>
      <c r="AQ38">
        <f>R38+SUMPRODUCT(((MAX(0,L38+AO38+AP38-(Tables!$B$22+IF(B38&gt;=Tables!$B$27,2*Tables!$B$23,0))))&gt;Tables!$A$31:$A$37)*((MAX(0,L38+AO38+AP38-(Tables!$B$22+IF(B38&gt;=Tables!$B$27,2*Tables!$B$23,0))))-Tables!$A$31:$A$37)*Tables!$C$31:$C$37)-O38</f>
        <v/>
      </c>
      <c r="AR38">
        <f>IF((L38+AQ38)+0.5*H38&lt;=Tables!$B$24,0,IF((L38+AQ38)+0.5*H38&lt;=Tables!$B$25,MIN(0.5*H38,0.5*((L38+AQ38)+0.5*H38-Tables!$B$24)),MIN(0.85*H38,0.85*((L38+AQ38)+0.5*H38-Tables!$B$25)+MIN(Tables!$B$26,0.5*H38))))</f>
        <v/>
      </c>
      <c r="AS38">
        <f>R38+SUMPRODUCT(((MAX(0,L38+AQ38+AR38-(Tables!$B$22+IF(B38&gt;=Tables!$B$27,2*Tables!$B$23,0))))&gt;Tables!$A$31:$A$37)*((MAX(0,L38+AQ38+AR38-(Tables!$B$22+IF(B38&gt;=Tables!$B$27,2*Tables!$B$23,0))))-Tables!$A$31:$A$37)*Tables!$C$31:$C$37)-O38</f>
        <v/>
      </c>
      <c r="AT38">
        <f>IF((L38+AS38)+0.5*H38&lt;=Tables!$B$24,0,IF((L38+AS38)+0.5*H38&lt;=Tables!$B$25,MIN(0.5*H38,0.5*((L38+AS38)+0.5*H38-Tables!$B$24)),MIN(0.85*H38,0.85*((L38+AS38)+0.5*H38-Tables!$B$25)+MIN(Tables!$B$26,0.5*H38))))</f>
        <v/>
      </c>
      <c r="AU38">
        <f>R38+SUMPRODUCT(((MAX(0,L38+AS38+AT38-(Tables!$B$22+IF(B38&gt;=Tables!$B$27,2*Tables!$B$23,0))))&gt;Tables!$A$31:$A$37)*((MAX(0,L38+AS38+AT38-(Tables!$B$22+IF(B38&gt;=Tables!$B$27,2*Tables!$B$23,0))))-Tables!$A$31:$A$37)*Tables!$C$31:$C$37)-O38</f>
        <v/>
      </c>
      <c r="AV38">
        <f>IF((L38+AU38)+0.5*H38&lt;=Tables!$B$24,0,IF((L38+AU38)+0.5*H38&lt;=Tables!$B$25,MIN(0.5*H38,0.5*((L38+AU38)+0.5*H38-Tables!$B$24)),MIN(0.85*H38,0.85*((L38+AU38)+0.5*H38-Tables!$B$25)+MIN(Tables!$B$26,0.5*H38))))</f>
        <v/>
      </c>
      <c r="AW38">
        <f>R38+SUMPRODUCT(((MAX(0,L38+AU38+AV38-(Tables!$B$22+IF(B38&gt;=Tables!$B$27,2*Tables!$B$23,0))))&gt;Tables!$A$31:$A$37)*((MAX(0,L38+AU38+AV38-(Tables!$B$22+IF(B38&gt;=Tables!$B$27,2*Tables!$B$23,0))))-Tables!$A$31:$A$37)*Tables!$C$31:$C$37)-O38</f>
        <v/>
      </c>
      <c r="AX38">
        <f>IF((L38+AW38)+0.5*H38&lt;=Tables!$B$24,0,IF((L38+AW38)+0.5*H38&lt;=Tables!$B$25,MIN(0.5*H38,0.5*((L38+AW38)+0.5*H38-Tables!$B$24)),MIN(0.85*H38,0.85*((L38+AW38)+0.5*H38-Tables!$B$25)+MIN(Tables!$B$26,0.5*H38))))</f>
        <v/>
      </c>
      <c r="AY38">
        <f>R38+SUMPRODUCT(((MAX(0,L38+AW38+AX38-(Tables!$B$22+IF(B38&gt;=Tables!$B$27,2*Tables!$B$23,0))))&gt;Tables!$A$31:$A$37)*((MAX(0,L38+AW38+AX38-(Tables!$B$22+IF(B38&gt;=Tables!$B$27,2*Tables!$B$23,0))))-Tables!$A$31:$A$37)*Tables!$C$31:$C$37)-O38</f>
        <v/>
      </c>
      <c r="AZ38">
        <f>IF((L38+AY38)+0.5*H38&lt;=Tables!$B$24,0,IF((L38+AY38)+0.5*H38&lt;=Tables!$B$25,MIN(0.5*H38,0.5*((L38+AY38)+0.5*H38-Tables!$B$24)),MIN(0.85*H38,0.85*((L38+AY38)+0.5*H38-Tables!$B$25)+MIN(Tables!$B$26,0.5*H38))))</f>
        <v/>
      </c>
      <c r="BA38">
        <f>R38+SUMPRODUCT(((MAX(0,L38+AY38+AZ38-(Tables!$B$22+IF(B38&gt;=Tables!$B$27,2*Tables!$B$23,0))))&gt;Tables!$A$31:$A$37)*((MAX(0,L38+AY38+AZ38-(Tables!$B$22+IF(B38&gt;=Tables!$B$27,2*Tables!$B$23,0))))-Tables!$A$31:$A$37)*Tables!$C$31:$C$37)-O38</f>
        <v/>
      </c>
      <c r="BB38">
        <f>IF((L38+BA38)+0.5*H38&lt;=Tables!$B$24,0,IF((L38+BA38)+0.5*H38&lt;=Tables!$B$25,MIN(0.5*H38,0.5*((L38+BA38)+0.5*H38-Tables!$B$24)),MIN(0.85*H38,0.85*((L38+BA38)+0.5*H38-Tables!$B$25)+MIN(Tables!$B$26,0.5*H38))))</f>
        <v/>
      </c>
      <c r="BC38">
        <f>R38+SUMPRODUCT(((MAX(0,L38+BA38+BB38-(Tables!$B$22+IF(B38&gt;=Tables!$B$27,2*Tables!$B$23,0))))&gt;Tables!$A$31:$A$37)*((MAX(0,L38+BA38+BB38-(Tables!$B$22+IF(B38&gt;=Tables!$B$27,2*Tables!$B$23,0))))-Tables!$A$31:$A$37)*Tables!$C$31:$C$37)-O38</f>
        <v/>
      </c>
      <c r="BD38">
        <f>IF((L38+BC38)+0.5*H38&lt;=Tables!$B$24,0,IF((L38+BC38)+0.5*H38&lt;=Tables!$B$25,MIN(0.5*H38,0.5*((L38+BC38)+0.5*H38-Tables!$B$24)),MIN(0.85*H38,0.85*((L38+BC38)+0.5*H38-Tables!$B$25)+MIN(Tables!$B$26,0.5*H38))))</f>
        <v/>
      </c>
      <c r="BE38">
        <f>R38+SUMPRODUCT(((MAX(0,L38+BC38+BD38-(Tables!$B$22+IF(B38&gt;=Tables!$B$27,2*Tables!$B$23,0))))&gt;Tables!$A$31:$A$37)*((MAX(0,L38+BC38+BD38-(Tables!$B$22+IF(B38&gt;=Tables!$B$27,2*Tables!$B$23,0))))-Tables!$A$31:$A$37)*Tables!$C$31:$C$37)-O38</f>
        <v/>
      </c>
      <c r="BF38">
        <f>IF((L38+BE38)+0.5*H38&lt;=Tables!$B$24,0,IF((L38+BE38)+0.5*H38&lt;=Tables!$B$25,MIN(0.5*H38,0.5*((L38+BE38)+0.5*H38-Tables!$B$24)),MIN(0.85*H38,0.85*((L38+BE38)+0.5*H38-Tables!$B$25)+MIN(Tables!$B$26,0.5*H38))))</f>
        <v/>
      </c>
      <c r="BG38">
        <f>R38+SUMPRODUCT(((MAX(0,L38+BE38+BF38-(Tables!$B$22+IF(B38&gt;=Tables!$B$27,2*Tables!$B$23,0))))&gt;Tables!$A$31:$A$37)*((MAX(0,L38+BE38+BF38-(Tables!$B$22+IF(B38&gt;=Tables!$B$27,2*Tables!$B$23,0))))-Tables!$A$31:$A$37)*Tables!$C$31:$C$37)-O38</f>
        <v/>
      </c>
      <c r="BH38">
        <f>IF((L38+BG38)+0.5*H38&lt;=Tables!$B$24,0,IF((L38+BG38)+0.5*H38&lt;=Tables!$B$25,MIN(0.5*H38,0.5*((L38+BG38)+0.5*H38-Tables!$B$24)),MIN(0.85*H38,0.85*((L38+BG38)+0.5*H38-Tables!$B$25)+MIN(Tables!$B$26,0.5*H38))))</f>
        <v/>
      </c>
      <c r="BI38">
        <f>R38+SUMPRODUCT(((MAX(0,L38+BG38+BH38-(Tables!$B$22+IF(B38&gt;=Tables!$B$27,2*Tables!$B$23,0))))&gt;Tables!$A$31:$A$37)*((MAX(0,L38+BG38+BH38-(Tables!$B$22+IF(B38&gt;=Tables!$B$27,2*Tables!$B$23,0))))-Tables!$A$31:$A$37)*Tables!$C$31:$C$37)-O38</f>
        <v/>
      </c>
      <c r="BJ38">
        <f>IF((L38+BI38)+0.5*H38&lt;=Tables!$B$24,0,IF((L38+BI38)+0.5*H38&lt;=Tables!$B$25,MIN(0.5*H38,0.5*((L38+BI38)+0.5*H38-Tables!$B$24)),MIN(0.85*H38,0.85*((L38+BI38)+0.5*H38-Tables!$B$25)+MIN(Tables!$B$26,0.5*H38))))</f>
        <v/>
      </c>
      <c r="BK38">
        <f>R38+SUMPRODUCT(((MAX(0,L38+BI38+BJ38-(Tables!$B$22+IF(B38&gt;=Tables!$B$27,2*Tables!$B$23,0))))&gt;Tables!$A$31:$A$37)*((MAX(0,L38+BI38+BJ38-(Tables!$B$22+IF(B38&gt;=Tables!$B$27,2*Tables!$B$23,0))))-Tables!$A$31:$A$37)*Tables!$C$31:$C$37)-O38</f>
        <v/>
      </c>
      <c r="BL38">
        <f>IF((L38+BK38)+0.5*H38&lt;=Tables!$B$24,0,IF((L38+BK38)+0.5*H38&lt;=Tables!$B$25,MIN(0.5*H38,0.5*((L38+BK38)+0.5*H38-Tables!$B$24)),MIN(0.85*H38,0.85*((L38+BK38)+0.5*H38-Tables!$B$25)+MIN(Tables!$B$26,0.5*H38))))</f>
        <v/>
      </c>
      <c r="BM38">
        <f>R38+SUMPRODUCT(((MAX(0,L38+BK38+BL38-(Tables!$B$22+IF(B38&gt;=Tables!$B$27,2*Tables!$B$23,0))))&gt;Tables!$A$31:$A$37)*((MAX(0,L38+BK38+BL38-(Tables!$B$22+IF(B38&gt;=Tables!$B$27,2*Tables!$B$23,0))))-Tables!$A$31:$A$37)*Tables!$C$31:$C$37)-O38</f>
        <v/>
      </c>
      <c r="BN38">
        <f>IF((L38+BM38)+0.5*H38&lt;=Tables!$B$24,0,IF((L38+BM38)+0.5*H38&lt;=Tables!$B$25,MIN(0.5*H38,0.5*((L38+BM38)+0.5*H38-Tables!$B$24)),MIN(0.85*H38,0.85*((L38+BM38)+0.5*H38-Tables!$B$25)+MIN(Tables!$B$26,0.5*H38))))</f>
        <v/>
      </c>
      <c r="BO38">
        <f>R38+SUMPRODUCT(((MAX(0,L38+BM38+BN38-(Tables!$B$22+IF(B38&gt;=Tables!$B$27,2*Tables!$B$23,0))))&gt;Tables!$A$31:$A$37)*((MAX(0,L38+BM38+BN38-(Tables!$B$22+IF(B38&gt;=Tables!$B$27,2*Tables!$B$23,0))))-Tables!$A$31:$A$37)*Tables!$C$31:$C$37)-O38</f>
        <v/>
      </c>
      <c r="BP38">
        <f>MIN(BO38,S38)</f>
        <v/>
      </c>
      <c r="BQ38">
        <f>L38+BP38</f>
        <v/>
      </c>
      <c r="BR38">
        <f>IF(BQ38+0.5*H38&lt;=Tables!$B$24,0,IF(BQ38+0.5*H38&lt;=Tables!$B$25,MIN(0.5*H38,0.5*(BQ38+0.5*H38-Tables!$B$24)),MIN(0.85*H38,0.85*(BQ38+0.5*H38-Tables!$B$25)+MIN(Tables!$B$26,0.5*H38))))</f>
        <v/>
      </c>
      <c r="BS38">
        <f>MAX(0,BQ38+BR38-(Tables!$B$22+IF(B38&gt;=Tables!$B$27,2*Tables!$B$23,0)))</f>
        <v/>
      </c>
      <c r="BT38">
        <f>SUMPRODUCT(((BS38)&gt;Tables!$A$31:$A$37)*((BS38)-Tables!$A$31:$A$37)*Tables!$C$31:$C$37)</f>
        <v/>
      </c>
      <c r="BU38">
        <f>MAX(0,G38-(H38+BQ38+Q38-BT38))</f>
        <v/>
      </c>
      <c r="BV38">
        <f>MIN(J38,BU38)</f>
        <v/>
      </c>
      <c r="BW38">
        <f>H38+BQ38+Q38+BV38</f>
        <v/>
      </c>
      <c r="BX38">
        <f>MAX(0,BW38-G38-BT38)</f>
        <v/>
      </c>
      <c r="BY38">
        <f>MAX(0,G38+BT38-BW38)</f>
        <v/>
      </c>
      <c r="BZ38">
        <f>IF(C38=0,0,MAX(0,I38-BQ38)*(1+D38))</f>
        <v/>
      </c>
      <c r="CA38">
        <f>IF(C38=0,0,MAX(0,J38-BV38)*(1+D38))</f>
        <v/>
      </c>
      <c r="CB38">
        <f>IF(C38=0,0,MAX(0,K38-Q38+BX38)*(1+D38))</f>
        <v/>
      </c>
      <c r="CC38">
        <f>IF(C38=0,CC37,BZ38+CA38+CB38)</f>
        <v/>
      </c>
      <c r="CD38">
        <f>IF(C38=0,9999,IF(OR(BY38&gt;0.0001,CC38&lt;=0.0001),B38,9999))</f>
        <v/>
      </c>
    </row>
    <row r="39">
      <c r="A39" t="n">
        <v>37</v>
      </c>
      <c r="B39">
        <f>Tables!$B$13+A39</f>
        <v/>
      </c>
      <c r="C39">
        <f>IF(B39&lt;=Tables!$B$18,1,0)</f>
        <v/>
      </c>
      <c r="D39">
        <f>INDEX(Tables!$B$83:$B$123,A39+1)</f>
        <v/>
      </c>
      <c r="E39">
        <f>IF(A39=0,0,INDEX(Tables!$B$83:$B$123,A39))</f>
        <v/>
      </c>
      <c r="F39">
        <f>IF(AND(C39=1,Tables!$B$17="YES",A39&gt;0,E39&lt;Tables!$B$16),Tables!$B$15,0)</f>
        <v/>
      </c>
      <c r="G39">
        <f>IF(C39=0,0,Tables!$B$8-IF(B39&gt;=Tables!$B$7,Tables!$B$6,0)+IF(B39&lt;Tables!$B$27,Tables!$B$9,Tables!$B$10)-F39)</f>
        <v/>
      </c>
      <c r="H39">
        <f>IF(C39=0,0,IF(B39&gt;=Tables!$B$78,Tables!$D$78,0)+IF(B39&gt;=Tables!$C$78,Tables!$E$78,0))</f>
        <v/>
      </c>
      <c r="I39">
        <f>IF(C39=0,0,BZ38)</f>
        <v/>
      </c>
      <c r="J39">
        <f>IF(C39=0,0,CA38)</f>
        <v/>
      </c>
      <c r="K39">
        <f>IF(C39=0,0,CB38)</f>
        <v/>
      </c>
      <c r="L39">
        <f>IF(C39=0,0,IF(B39&gt;=Tables!$B$19,MIN(I39,I39/VLOOKUP(B39,Tables!$A$41:$B$61,2,FALSE)),0))</f>
        <v/>
      </c>
      <c r="M39">
        <f>IF(L39+0.5*H39&lt;=Tables!$B$24,0,IF(L39+0.5*H39&lt;=Tables!$B$25,MIN(0.5*H39,0.5*(L39+0.5*H39-Tables!$B$24)),MIN(0.85*H39,0.85*(L39+0.5*H39-Tables!$B$25)+MIN(Tables!$B$26,0.5*H39))))</f>
        <v/>
      </c>
      <c r="N39">
        <f>MAX(0,L39+M39-(Tables!$B$22+IF(B39&gt;=Tables!$B$27,2*Tables!$B$23,0)))</f>
        <v/>
      </c>
      <c r="O39">
        <f>SUMPRODUCT(((N39)&gt;Tables!$A$31:$A$37)*((N39)-Tables!$A$31:$A$37)*Tables!$C$31:$C$37)</f>
        <v/>
      </c>
      <c r="P39">
        <f>G39-(H39+L39-O39)</f>
        <v/>
      </c>
      <c r="Q39">
        <f>MIN(K39,MAX(0,P39))</f>
        <v/>
      </c>
      <c r="R39">
        <f>MAX(0,P39-Q39)</f>
        <v/>
      </c>
      <c r="S39">
        <f>MAX(0,I39-L39)</f>
        <v/>
      </c>
      <c r="T39">
        <f>IF((L39+R39)+0.5*H39&lt;=Tables!$B$24,0,IF((L39+R39)+0.5*H39&lt;=Tables!$B$25,MIN(0.5*H39,0.5*((L39+R39)+0.5*H39-Tables!$B$24)),MIN(0.85*H39,0.85*((L39+R39)+0.5*H39-Tables!$B$25)+MIN(Tables!$B$26,0.5*H39))))</f>
        <v/>
      </c>
      <c r="U39">
        <f>R39+SUMPRODUCT(((MAX(0,L39+R39+T39-(Tables!$B$22+IF(B39&gt;=Tables!$B$27,2*Tables!$B$23,0))))&gt;Tables!$A$31:$A$37)*((MAX(0,L39+R39+T39-(Tables!$B$22+IF(B39&gt;=Tables!$B$27,2*Tables!$B$23,0))))-Tables!$A$31:$A$37)*Tables!$C$31:$C$37)-O39</f>
        <v/>
      </c>
      <c r="V39">
        <f>IF((L39+U39)+0.5*H39&lt;=Tables!$B$24,0,IF((L39+U39)+0.5*H39&lt;=Tables!$B$25,MIN(0.5*H39,0.5*((L39+U39)+0.5*H39-Tables!$B$24)),MIN(0.85*H39,0.85*((L39+U39)+0.5*H39-Tables!$B$25)+MIN(Tables!$B$26,0.5*H39))))</f>
        <v/>
      </c>
      <c r="W39">
        <f>R39+SUMPRODUCT(((MAX(0,L39+U39+V39-(Tables!$B$22+IF(B39&gt;=Tables!$B$27,2*Tables!$B$23,0))))&gt;Tables!$A$31:$A$37)*((MAX(0,L39+U39+V39-(Tables!$B$22+IF(B39&gt;=Tables!$B$27,2*Tables!$B$23,0))))-Tables!$A$31:$A$37)*Tables!$C$31:$C$37)-O39</f>
        <v/>
      </c>
      <c r="X39">
        <f>IF((L39+W39)+0.5*H39&lt;=Tables!$B$24,0,IF((L39+W39)+0.5*H39&lt;=Tables!$B$25,MIN(0.5*H39,0.5*((L39+W39)+0.5*H39-Tables!$B$24)),MIN(0.85*H39,0.85*((L39+W39)+0.5*H39-Tables!$B$25)+MIN(Tables!$B$26,0.5*H39))))</f>
        <v/>
      </c>
      <c r="Y39">
        <f>R39+SUMPRODUCT(((MAX(0,L39+W39+X39-(Tables!$B$22+IF(B39&gt;=Tables!$B$27,2*Tables!$B$23,0))))&gt;Tables!$A$31:$A$37)*((MAX(0,L39+W39+X39-(Tables!$B$22+IF(B39&gt;=Tables!$B$27,2*Tables!$B$23,0))))-Tables!$A$31:$A$37)*Tables!$C$31:$C$37)-O39</f>
        <v/>
      </c>
      <c r="Z39">
        <f>IF((L39+Y39)+0.5*H39&lt;=Tables!$B$24,0,IF((L39+Y39)+0.5*H39&lt;=Tables!$B$25,MIN(0.5*H39,0.5*((L39+Y39)+0.5*H39-Tables!$B$24)),MIN(0.85*H39,0.85*((L39+Y39)+0.5*H39-Tables!$B$25)+MIN(Tables!$B$26,0.5*H39))))</f>
        <v/>
      </c>
      <c r="AA39">
        <f>R39+SUMPRODUCT(((MAX(0,L39+Y39+Z39-(Tables!$B$22+IF(B39&gt;=Tables!$B$27,2*Tables!$B$23,0))))&gt;Tables!$A$31:$A$37)*((MAX(0,L39+Y39+Z39-(Tables!$B$22+IF(B39&gt;=Tables!$B$27,2*Tables!$B$23,0))))-Tables!$A$31:$A$37)*Tables!$C$31:$C$37)-O39</f>
        <v/>
      </c>
      <c r="AB39">
        <f>IF((L39+AA39)+0.5*H39&lt;=Tables!$B$24,0,IF((L39+AA39)+0.5*H39&lt;=Tables!$B$25,MIN(0.5*H39,0.5*((L39+AA39)+0.5*H39-Tables!$B$24)),MIN(0.85*H39,0.85*((L39+AA39)+0.5*H39-Tables!$B$25)+MIN(Tables!$B$26,0.5*H39))))</f>
        <v/>
      </c>
      <c r="AC39">
        <f>R39+SUMPRODUCT(((MAX(0,L39+AA39+AB39-(Tables!$B$22+IF(B39&gt;=Tables!$B$27,2*Tables!$B$23,0))))&gt;Tables!$A$31:$A$37)*((MAX(0,L39+AA39+AB39-(Tables!$B$22+IF(B39&gt;=Tables!$B$27,2*Tables!$B$23,0))))-Tables!$A$31:$A$37)*Tables!$C$31:$C$37)-O39</f>
        <v/>
      </c>
      <c r="AD39">
        <f>IF((L39+AC39)+0.5*H39&lt;=Tables!$B$24,0,IF((L39+AC39)+0.5*H39&lt;=Tables!$B$25,MIN(0.5*H39,0.5*((L39+AC39)+0.5*H39-Tables!$B$24)),MIN(0.85*H39,0.85*((L39+AC39)+0.5*H39-Tables!$B$25)+MIN(Tables!$B$26,0.5*H39))))</f>
        <v/>
      </c>
      <c r="AE39">
        <f>R39+SUMPRODUCT(((MAX(0,L39+AC39+AD39-(Tables!$B$22+IF(B39&gt;=Tables!$B$27,2*Tables!$B$23,0))))&gt;Tables!$A$31:$A$37)*((MAX(0,L39+AC39+AD39-(Tables!$B$22+IF(B39&gt;=Tables!$B$27,2*Tables!$B$23,0))))-Tables!$A$31:$A$37)*Tables!$C$31:$C$37)-O39</f>
        <v/>
      </c>
      <c r="AF39">
        <f>IF((L39+AE39)+0.5*H39&lt;=Tables!$B$24,0,IF((L39+AE39)+0.5*H39&lt;=Tables!$B$25,MIN(0.5*H39,0.5*((L39+AE39)+0.5*H39-Tables!$B$24)),MIN(0.85*H39,0.85*((L39+AE39)+0.5*H39-Tables!$B$25)+MIN(Tables!$B$26,0.5*H39))))</f>
        <v/>
      </c>
      <c r="AG39">
        <f>R39+SUMPRODUCT(((MAX(0,L39+AE39+AF39-(Tables!$B$22+IF(B39&gt;=Tables!$B$27,2*Tables!$B$23,0))))&gt;Tables!$A$31:$A$37)*((MAX(0,L39+AE39+AF39-(Tables!$B$22+IF(B39&gt;=Tables!$B$27,2*Tables!$B$23,0))))-Tables!$A$31:$A$37)*Tables!$C$31:$C$37)-O39</f>
        <v/>
      </c>
      <c r="AH39">
        <f>IF((L39+AG39)+0.5*H39&lt;=Tables!$B$24,0,IF((L39+AG39)+0.5*H39&lt;=Tables!$B$25,MIN(0.5*H39,0.5*((L39+AG39)+0.5*H39-Tables!$B$24)),MIN(0.85*H39,0.85*((L39+AG39)+0.5*H39-Tables!$B$25)+MIN(Tables!$B$26,0.5*H39))))</f>
        <v/>
      </c>
      <c r="AI39">
        <f>R39+SUMPRODUCT(((MAX(0,L39+AG39+AH39-(Tables!$B$22+IF(B39&gt;=Tables!$B$27,2*Tables!$B$23,0))))&gt;Tables!$A$31:$A$37)*((MAX(0,L39+AG39+AH39-(Tables!$B$22+IF(B39&gt;=Tables!$B$27,2*Tables!$B$23,0))))-Tables!$A$31:$A$37)*Tables!$C$31:$C$37)-O39</f>
        <v/>
      </c>
      <c r="AJ39">
        <f>IF((L39+AI39)+0.5*H39&lt;=Tables!$B$24,0,IF((L39+AI39)+0.5*H39&lt;=Tables!$B$25,MIN(0.5*H39,0.5*((L39+AI39)+0.5*H39-Tables!$B$24)),MIN(0.85*H39,0.85*((L39+AI39)+0.5*H39-Tables!$B$25)+MIN(Tables!$B$26,0.5*H39))))</f>
        <v/>
      </c>
      <c r="AK39">
        <f>R39+SUMPRODUCT(((MAX(0,L39+AI39+AJ39-(Tables!$B$22+IF(B39&gt;=Tables!$B$27,2*Tables!$B$23,0))))&gt;Tables!$A$31:$A$37)*((MAX(0,L39+AI39+AJ39-(Tables!$B$22+IF(B39&gt;=Tables!$B$27,2*Tables!$B$23,0))))-Tables!$A$31:$A$37)*Tables!$C$31:$C$37)-O39</f>
        <v/>
      </c>
      <c r="AL39">
        <f>IF((L39+AK39)+0.5*H39&lt;=Tables!$B$24,0,IF((L39+AK39)+0.5*H39&lt;=Tables!$B$25,MIN(0.5*H39,0.5*((L39+AK39)+0.5*H39-Tables!$B$24)),MIN(0.85*H39,0.85*((L39+AK39)+0.5*H39-Tables!$B$25)+MIN(Tables!$B$26,0.5*H39))))</f>
        <v/>
      </c>
      <c r="AM39">
        <f>R39+SUMPRODUCT(((MAX(0,L39+AK39+AL39-(Tables!$B$22+IF(B39&gt;=Tables!$B$27,2*Tables!$B$23,0))))&gt;Tables!$A$31:$A$37)*((MAX(0,L39+AK39+AL39-(Tables!$B$22+IF(B39&gt;=Tables!$B$27,2*Tables!$B$23,0))))-Tables!$A$31:$A$37)*Tables!$C$31:$C$37)-O39</f>
        <v/>
      </c>
      <c r="AN39">
        <f>IF((L39+AM39)+0.5*H39&lt;=Tables!$B$24,0,IF((L39+AM39)+0.5*H39&lt;=Tables!$B$25,MIN(0.5*H39,0.5*((L39+AM39)+0.5*H39-Tables!$B$24)),MIN(0.85*H39,0.85*((L39+AM39)+0.5*H39-Tables!$B$25)+MIN(Tables!$B$26,0.5*H39))))</f>
        <v/>
      </c>
      <c r="AO39">
        <f>R39+SUMPRODUCT(((MAX(0,L39+AM39+AN39-(Tables!$B$22+IF(B39&gt;=Tables!$B$27,2*Tables!$B$23,0))))&gt;Tables!$A$31:$A$37)*((MAX(0,L39+AM39+AN39-(Tables!$B$22+IF(B39&gt;=Tables!$B$27,2*Tables!$B$23,0))))-Tables!$A$31:$A$37)*Tables!$C$31:$C$37)-O39</f>
        <v/>
      </c>
      <c r="AP39">
        <f>IF((L39+AO39)+0.5*H39&lt;=Tables!$B$24,0,IF((L39+AO39)+0.5*H39&lt;=Tables!$B$25,MIN(0.5*H39,0.5*((L39+AO39)+0.5*H39-Tables!$B$24)),MIN(0.85*H39,0.85*((L39+AO39)+0.5*H39-Tables!$B$25)+MIN(Tables!$B$26,0.5*H39))))</f>
        <v/>
      </c>
      <c r="AQ39">
        <f>R39+SUMPRODUCT(((MAX(0,L39+AO39+AP39-(Tables!$B$22+IF(B39&gt;=Tables!$B$27,2*Tables!$B$23,0))))&gt;Tables!$A$31:$A$37)*((MAX(0,L39+AO39+AP39-(Tables!$B$22+IF(B39&gt;=Tables!$B$27,2*Tables!$B$23,0))))-Tables!$A$31:$A$37)*Tables!$C$31:$C$37)-O39</f>
        <v/>
      </c>
      <c r="AR39">
        <f>IF((L39+AQ39)+0.5*H39&lt;=Tables!$B$24,0,IF((L39+AQ39)+0.5*H39&lt;=Tables!$B$25,MIN(0.5*H39,0.5*((L39+AQ39)+0.5*H39-Tables!$B$24)),MIN(0.85*H39,0.85*((L39+AQ39)+0.5*H39-Tables!$B$25)+MIN(Tables!$B$26,0.5*H39))))</f>
        <v/>
      </c>
      <c r="AS39">
        <f>R39+SUMPRODUCT(((MAX(0,L39+AQ39+AR39-(Tables!$B$22+IF(B39&gt;=Tables!$B$27,2*Tables!$B$23,0))))&gt;Tables!$A$31:$A$37)*((MAX(0,L39+AQ39+AR39-(Tables!$B$22+IF(B39&gt;=Tables!$B$27,2*Tables!$B$23,0))))-Tables!$A$31:$A$37)*Tables!$C$31:$C$37)-O39</f>
        <v/>
      </c>
      <c r="AT39">
        <f>IF((L39+AS39)+0.5*H39&lt;=Tables!$B$24,0,IF((L39+AS39)+0.5*H39&lt;=Tables!$B$25,MIN(0.5*H39,0.5*((L39+AS39)+0.5*H39-Tables!$B$24)),MIN(0.85*H39,0.85*((L39+AS39)+0.5*H39-Tables!$B$25)+MIN(Tables!$B$26,0.5*H39))))</f>
        <v/>
      </c>
      <c r="AU39">
        <f>R39+SUMPRODUCT(((MAX(0,L39+AS39+AT39-(Tables!$B$22+IF(B39&gt;=Tables!$B$27,2*Tables!$B$23,0))))&gt;Tables!$A$31:$A$37)*((MAX(0,L39+AS39+AT39-(Tables!$B$22+IF(B39&gt;=Tables!$B$27,2*Tables!$B$23,0))))-Tables!$A$31:$A$37)*Tables!$C$31:$C$37)-O39</f>
        <v/>
      </c>
      <c r="AV39">
        <f>IF((L39+AU39)+0.5*H39&lt;=Tables!$B$24,0,IF((L39+AU39)+0.5*H39&lt;=Tables!$B$25,MIN(0.5*H39,0.5*((L39+AU39)+0.5*H39-Tables!$B$24)),MIN(0.85*H39,0.85*((L39+AU39)+0.5*H39-Tables!$B$25)+MIN(Tables!$B$26,0.5*H39))))</f>
        <v/>
      </c>
      <c r="AW39">
        <f>R39+SUMPRODUCT(((MAX(0,L39+AU39+AV39-(Tables!$B$22+IF(B39&gt;=Tables!$B$27,2*Tables!$B$23,0))))&gt;Tables!$A$31:$A$37)*((MAX(0,L39+AU39+AV39-(Tables!$B$22+IF(B39&gt;=Tables!$B$27,2*Tables!$B$23,0))))-Tables!$A$31:$A$37)*Tables!$C$31:$C$37)-O39</f>
        <v/>
      </c>
      <c r="AX39">
        <f>IF((L39+AW39)+0.5*H39&lt;=Tables!$B$24,0,IF((L39+AW39)+0.5*H39&lt;=Tables!$B$25,MIN(0.5*H39,0.5*((L39+AW39)+0.5*H39-Tables!$B$24)),MIN(0.85*H39,0.85*((L39+AW39)+0.5*H39-Tables!$B$25)+MIN(Tables!$B$26,0.5*H39))))</f>
        <v/>
      </c>
      <c r="AY39">
        <f>R39+SUMPRODUCT(((MAX(0,L39+AW39+AX39-(Tables!$B$22+IF(B39&gt;=Tables!$B$27,2*Tables!$B$23,0))))&gt;Tables!$A$31:$A$37)*((MAX(0,L39+AW39+AX39-(Tables!$B$22+IF(B39&gt;=Tables!$B$27,2*Tables!$B$23,0))))-Tables!$A$31:$A$37)*Tables!$C$31:$C$37)-O39</f>
        <v/>
      </c>
      <c r="AZ39">
        <f>IF((L39+AY39)+0.5*H39&lt;=Tables!$B$24,0,IF((L39+AY39)+0.5*H39&lt;=Tables!$B$25,MIN(0.5*H39,0.5*((L39+AY39)+0.5*H39-Tables!$B$24)),MIN(0.85*H39,0.85*((L39+AY39)+0.5*H39-Tables!$B$25)+MIN(Tables!$B$26,0.5*H39))))</f>
        <v/>
      </c>
      <c r="BA39">
        <f>R39+SUMPRODUCT(((MAX(0,L39+AY39+AZ39-(Tables!$B$22+IF(B39&gt;=Tables!$B$27,2*Tables!$B$23,0))))&gt;Tables!$A$31:$A$37)*((MAX(0,L39+AY39+AZ39-(Tables!$B$22+IF(B39&gt;=Tables!$B$27,2*Tables!$B$23,0))))-Tables!$A$31:$A$37)*Tables!$C$31:$C$37)-O39</f>
        <v/>
      </c>
      <c r="BB39">
        <f>IF((L39+BA39)+0.5*H39&lt;=Tables!$B$24,0,IF((L39+BA39)+0.5*H39&lt;=Tables!$B$25,MIN(0.5*H39,0.5*((L39+BA39)+0.5*H39-Tables!$B$24)),MIN(0.85*H39,0.85*((L39+BA39)+0.5*H39-Tables!$B$25)+MIN(Tables!$B$26,0.5*H39))))</f>
        <v/>
      </c>
      <c r="BC39">
        <f>R39+SUMPRODUCT(((MAX(0,L39+BA39+BB39-(Tables!$B$22+IF(B39&gt;=Tables!$B$27,2*Tables!$B$23,0))))&gt;Tables!$A$31:$A$37)*((MAX(0,L39+BA39+BB39-(Tables!$B$22+IF(B39&gt;=Tables!$B$27,2*Tables!$B$23,0))))-Tables!$A$31:$A$37)*Tables!$C$31:$C$37)-O39</f>
        <v/>
      </c>
      <c r="BD39">
        <f>IF((L39+BC39)+0.5*H39&lt;=Tables!$B$24,0,IF((L39+BC39)+0.5*H39&lt;=Tables!$B$25,MIN(0.5*H39,0.5*((L39+BC39)+0.5*H39-Tables!$B$24)),MIN(0.85*H39,0.85*((L39+BC39)+0.5*H39-Tables!$B$25)+MIN(Tables!$B$26,0.5*H39))))</f>
        <v/>
      </c>
      <c r="BE39">
        <f>R39+SUMPRODUCT(((MAX(0,L39+BC39+BD39-(Tables!$B$22+IF(B39&gt;=Tables!$B$27,2*Tables!$B$23,0))))&gt;Tables!$A$31:$A$37)*((MAX(0,L39+BC39+BD39-(Tables!$B$22+IF(B39&gt;=Tables!$B$27,2*Tables!$B$23,0))))-Tables!$A$31:$A$37)*Tables!$C$31:$C$37)-O39</f>
        <v/>
      </c>
      <c r="BF39">
        <f>IF((L39+BE39)+0.5*H39&lt;=Tables!$B$24,0,IF((L39+BE39)+0.5*H39&lt;=Tables!$B$25,MIN(0.5*H39,0.5*((L39+BE39)+0.5*H39-Tables!$B$24)),MIN(0.85*H39,0.85*((L39+BE39)+0.5*H39-Tables!$B$25)+MIN(Tables!$B$26,0.5*H39))))</f>
        <v/>
      </c>
      <c r="BG39">
        <f>R39+SUMPRODUCT(((MAX(0,L39+BE39+BF39-(Tables!$B$22+IF(B39&gt;=Tables!$B$27,2*Tables!$B$23,0))))&gt;Tables!$A$31:$A$37)*((MAX(0,L39+BE39+BF39-(Tables!$B$22+IF(B39&gt;=Tables!$B$27,2*Tables!$B$23,0))))-Tables!$A$31:$A$37)*Tables!$C$31:$C$37)-O39</f>
        <v/>
      </c>
      <c r="BH39">
        <f>IF((L39+BG39)+0.5*H39&lt;=Tables!$B$24,0,IF((L39+BG39)+0.5*H39&lt;=Tables!$B$25,MIN(0.5*H39,0.5*((L39+BG39)+0.5*H39-Tables!$B$24)),MIN(0.85*H39,0.85*((L39+BG39)+0.5*H39-Tables!$B$25)+MIN(Tables!$B$26,0.5*H39))))</f>
        <v/>
      </c>
      <c r="BI39">
        <f>R39+SUMPRODUCT(((MAX(0,L39+BG39+BH39-(Tables!$B$22+IF(B39&gt;=Tables!$B$27,2*Tables!$B$23,0))))&gt;Tables!$A$31:$A$37)*((MAX(0,L39+BG39+BH39-(Tables!$B$22+IF(B39&gt;=Tables!$B$27,2*Tables!$B$23,0))))-Tables!$A$31:$A$37)*Tables!$C$31:$C$37)-O39</f>
        <v/>
      </c>
      <c r="BJ39">
        <f>IF((L39+BI39)+0.5*H39&lt;=Tables!$B$24,0,IF((L39+BI39)+0.5*H39&lt;=Tables!$B$25,MIN(0.5*H39,0.5*((L39+BI39)+0.5*H39-Tables!$B$24)),MIN(0.85*H39,0.85*((L39+BI39)+0.5*H39-Tables!$B$25)+MIN(Tables!$B$26,0.5*H39))))</f>
        <v/>
      </c>
      <c r="BK39">
        <f>R39+SUMPRODUCT(((MAX(0,L39+BI39+BJ39-(Tables!$B$22+IF(B39&gt;=Tables!$B$27,2*Tables!$B$23,0))))&gt;Tables!$A$31:$A$37)*((MAX(0,L39+BI39+BJ39-(Tables!$B$22+IF(B39&gt;=Tables!$B$27,2*Tables!$B$23,0))))-Tables!$A$31:$A$37)*Tables!$C$31:$C$37)-O39</f>
        <v/>
      </c>
      <c r="BL39">
        <f>IF((L39+BK39)+0.5*H39&lt;=Tables!$B$24,0,IF((L39+BK39)+0.5*H39&lt;=Tables!$B$25,MIN(0.5*H39,0.5*((L39+BK39)+0.5*H39-Tables!$B$24)),MIN(0.85*H39,0.85*((L39+BK39)+0.5*H39-Tables!$B$25)+MIN(Tables!$B$26,0.5*H39))))</f>
        <v/>
      </c>
      <c r="BM39">
        <f>R39+SUMPRODUCT(((MAX(0,L39+BK39+BL39-(Tables!$B$22+IF(B39&gt;=Tables!$B$27,2*Tables!$B$23,0))))&gt;Tables!$A$31:$A$37)*((MAX(0,L39+BK39+BL39-(Tables!$B$22+IF(B39&gt;=Tables!$B$27,2*Tables!$B$23,0))))-Tables!$A$31:$A$37)*Tables!$C$31:$C$37)-O39</f>
        <v/>
      </c>
      <c r="BN39">
        <f>IF((L39+BM39)+0.5*H39&lt;=Tables!$B$24,0,IF((L39+BM39)+0.5*H39&lt;=Tables!$B$25,MIN(0.5*H39,0.5*((L39+BM39)+0.5*H39-Tables!$B$24)),MIN(0.85*H39,0.85*((L39+BM39)+0.5*H39-Tables!$B$25)+MIN(Tables!$B$26,0.5*H39))))</f>
        <v/>
      </c>
      <c r="BO39">
        <f>R39+SUMPRODUCT(((MAX(0,L39+BM39+BN39-(Tables!$B$22+IF(B39&gt;=Tables!$B$27,2*Tables!$B$23,0))))&gt;Tables!$A$31:$A$37)*((MAX(0,L39+BM39+BN39-(Tables!$B$22+IF(B39&gt;=Tables!$B$27,2*Tables!$B$23,0))))-Tables!$A$31:$A$37)*Tables!$C$31:$C$37)-O39</f>
        <v/>
      </c>
      <c r="BP39">
        <f>MIN(BO39,S39)</f>
        <v/>
      </c>
      <c r="BQ39">
        <f>L39+BP39</f>
        <v/>
      </c>
      <c r="BR39">
        <f>IF(BQ39+0.5*H39&lt;=Tables!$B$24,0,IF(BQ39+0.5*H39&lt;=Tables!$B$25,MIN(0.5*H39,0.5*(BQ39+0.5*H39-Tables!$B$24)),MIN(0.85*H39,0.85*(BQ39+0.5*H39-Tables!$B$25)+MIN(Tables!$B$26,0.5*H39))))</f>
        <v/>
      </c>
      <c r="BS39">
        <f>MAX(0,BQ39+BR39-(Tables!$B$22+IF(B39&gt;=Tables!$B$27,2*Tables!$B$23,0)))</f>
        <v/>
      </c>
      <c r="BT39">
        <f>SUMPRODUCT(((BS39)&gt;Tables!$A$31:$A$37)*((BS39)-Tables!$A$31:$A$37)*Tables!$C$31:$C$37)</f>
        <v/>
      </c>
      <c r="BU39">
        <f>MAX(0,G39-(H39+BQ39+Q39-BT39))</f>
        <v/>
      </c>
      <c r="BV39">
        <f>MIN(J39,BU39)</f>
        <v/>
      </c>
      <c r="BW39">
        <f>H39+BQ39+Q39+BV39</f>
        <v/>
      </c>
      <c r="BX39">
        <f>MAX(0,BW39-G39-BT39)</f>
        <v/>
      </c>
      <c r="BY39">
        <f>MAX(0,G39+BT39-BW39)</f>
        <v/>
      </c>
      <c r="BZ39">
        <f>IF(C39=0,0,MAX(0,I39-BQ39)*(1+D39))</f>
        <v/>
      </c>
      <c r="CA39">
        <f>IF(C39=0,0,MAX(0,J39-BV39)*(1+D39))</f>
        <v/>
      </c>
      <c r="CB39">
        <f>IF(C39=0,0,MAX(0,K39-Q39+BX39)*(1+D39))</f>
        <v/>
      </c>
      <c r="CC39">
        <f>IF(C39=0,CC38,BZ39+CA39+CB39)</f>
        <v/>
      </c>
      <c r="CD39">
        <f>IF(C39=0,9999,IF(OR(BY39&gt;0.0001,CC39&lt;=0.0001),B39,9999))</f>
        <v/>
      </c>
    </row>
    <row r="40">
      <c r="A40" t="n">
        <v>38</v>
      </c>
      <c r="B40">
        <f>Tables!$B$13+A40</f>
        <v/>
      </c>
      <c r="C40">
        <f>IF(B40&lt;=Tables!$B$18,1,0)</f>
        <v/>
      </c>
      <c r="D40">
        <f>INDEX(Tables!$B$83:$B$123,A40+1)</f>
        <v/>
      </c>
      <c r="E40">
        <f>IF(A40=0,0,INDEX(Tables!$B$83:$B$123,A40))</f>
        <v/>
      </c>
      <c r="F40">
        <f>IF(AND(C40=1,Tables!$B$17="YES",A40&gt;0,E40&lt;Tables!$B$16),Tables!$B$15,0)</f>
        <v/>
      </c>
      <c r="G40">
        <f>IF(C40=0,0,Tables!$B$8-IF(B40&gt;=Tables!$B$7,Tables!$B$6,0)+IF(B40&lt;Tables!$B$27,Tables!$B$9,Tables!$B$10)-F40)</f>
        <v/>
      </c>
      <c r="H40">
        <f>IF(C40=0,0,IF(B40&gt;=Tables!$B$78,Tables!$D$78,0)+IF(B40&gt;=Tables!$C$78,Tables!$E$78,0))</f>
        <v/>
      </c>
      <c r="I40">
        <f>IF(C40=0,0,BZ39)</f>
        <v/>
      </c>
      <c r="J40">
        <f>IF(C40=0,0,CA39)</f>
        <v/>
      </c>
      <c r="K40">
        <f>IF(C40=0,0,CB39)</f>
        <v/>
      </c>
      <c r="L40">
        <f>IF(C40=0,0,IF(B40&gt;=Tables!$B$19,MIN(I40,I40/VLOOKUP(B40,Tables!$A$41:$B$61,2,FALSE)),0))</f>
        <v/>
      </c>
      <c r="M40">
        <f>IF(L40+0.5*H40&lt;=Tables!$B$24,0,IF(L40+0.5*H40&lt;=Tables!$B$25,MIN(0.5*H40,0.5*(L40+0.5*H40-Tables!$B$24)),MIN(0.85*H40,0.85*(L40+0.5*H40-Tables!$B$25)+MIN(Tables!$B$26,0.5*H40))))</f>
        <v/>
      </c>
      <c r="N40">
        <f>MAX(0,L40+M40-(Tables!$B$22+IF(B40&gt;=Tables!$B$27,2*Tables!$B$23,0)))</f>
        <v/>
      </c>
      <c r="O40">
        <f>SUMPRODUCT(((N40)&gt;Tables!$A$31:$A$37)*((N40)-Tables!$A$31:$A$37)*Tables!$C$31:$C$37)</f>
        <v/>
      </c>
      <c r="P40">
        <f>G40-(H40+L40-O40)</f>
        <v/>
      </c>
      <c r="Q40">
        <f>MIN(K40,MAX(0,P40))</f>
        <v/>
      </c>
      <c r="R40">
        <f>MAX(0,P40-Q40)</f>
        <v/>
      </c>
      <c r="S40">
        <f>MAX(0,I40-L40)</f>
        <v/>
      </c>
      <c r="T40">
        <f>IF((L40+R40)+0.5*H40&lt;=Tables!$B$24,0,IF((L40+R40)+0.5*H40&lt;=Tables!$B$25,MIN(0.5*H40,0.5*((L40+R40)+0.5*H40-Tables!$B$24)),MIN(0.85*H40,0.85*((L40+R40)+0.5*H40-Tables!$B$25)+MIN(Tables!$B$26,0.5*H40))))</f>
        <v/>
      </c>
      <c r="U40">
        <f>R40+SUMPRODUCT(((MAX(0,L40+R40+T40-(Tables!$B$22+IF(B40&gt;=Tables!$B$27,2*Tables!$B$23,0))))&gt;Tables!$A$31:$A$37)*((MAX(0,L40+R40+T40-(Tables!$B$22+IF(B40&gt;=Tables!$B$27,2*Tables!$B$23,0))))-Tables!$A$31:$A$37)*Tables!$C$31:$C$37)-O40</f>
        <v/>
      </c>
      <c r="V40">
        <f>IF((L40+U40)+0.5*H40&lt;=Tables!$B$24,0,IF((L40+U40)+0.5*H40&lt;=Tables!$B$25,MIN(0.5*H40,0.5*((L40+U40)+0.5*H40-Tables!$B$24)),MIN(0.85*H40,0.85*((L40+U40)+0.5*H40-Tables!$B$25)+MIN(Tables!$B$26,0.5*H40))))</f>
        <v/>
      </c>
      <c r="W40">
        <f>R40+SUMPRODUCT(((MAX(0,L40+U40+V40-(Tables!$B$22+IF(B40&gt;=Tables!$B$27,2*Tables!$B$23,0))))&gt;Tables!$A$31:$A$37)*((MAX(0,L40+U40+V40-(Tables!$B$22+IF(B40&gt;=Tables!$B$27,2*Tables!$B$23,0))))-Tables!$A$31:$A$37)*Tables!$C$31:$C$37)-O40</f>
        <v/>
      </c>
      <c r="X40">
        <f>IF((L40+W40)+0.5*H40&lt;=Tables!$B$24,0,IF((L40+W40)+0.5*H40&lt;=Tables!$B$25,MIN(0.5*H40,0.5*((L40+W40)+0.5*H40-Tables!$B$24)),MIN(0.85*H40,0.85*((L40+W40)+0.5*H40-Tables!$B$25)+MIN(Tables!$B$26,0.5*H40))))</f>
        <v/>
      </c>
      <c r="Y40">
        <f>R40+SUMPRODUCT(((MAX(0,L40+W40+X40-(Tables!$B$22+IF(B40&gt;=Tables!$B$27,2*Tables!$B$23,0))))&gt;Tables!$A$31:$A$37)*((MAX(0,L40+W40+X40-(Tables!$B$22+IF(B40&gt;=Tables!$B$27,2*Tables!$B$23,0))))-Tables!$A$31:$A$37)*Tables!$C$31:$C$37)-O40</f>
        <v/>
      </c>
      <c r="Z40">
        <f>IF((L40+Y40)+0.5*H40&lt;=Tables!$B$24,0,IF((L40+Y40)+0.5*H40&lt;=Tables!$B$25,MIN(0.5*H40,0.5*((L40+Y40)+0.5*H40-Tables!$B$24)),MIN(0.85*H40,0.85*((L40+Y40)+0.5*H40-Tables!$B$25)+MIN(Tables!$B$26,0.5*H40))))</f>
        <v/>
      </c>
      <c r="AA40">
        <f>R40+SUMPRODUCT(((MAX(0,L40+Y40+Z40-(Tables!$B$22+IF(B40&gt;=Tables!$B$27,2*Tables!$B$23,0))))&gt;Tables!$A$31:$A$37)*((MAX(0,L40+Y40+Z40-(Tables!$B$22+IF(B40&gt;=Tables!$B$27,2*Tables!$B$23,0))))-Tables!$A$31:$A$37)*Tables!$C$31:$C$37)-O40</f>
        <v/>
      </c>
      <c r="AB40">
        <f>IF((L40+AA40)+0.5*H40&lt;=Tables!$B$24,0,IF((L40+AA40)+0.5*H40&lt;=Tables!$B$25,MIN(0.5*H40,0.5*((L40+AA40)+0.5*H40-Tables!$B$24)),MIN(0.85*H40,0.85*((L40+AA40)+0.5*H40-Tables!$B$25)+MIN(Tables!$B$26,0.5*H40))))</f>
        <v/>
      </c>
      <c r="AC40">
        <f>R40+SUMPRODUCT(((MAX(0,L40+AA40+AB40-(Tables!$B$22+IF(B40&gt;=Tables!$B$27,2*Tables!$B$23,0))))&gt;Tables!$A$31:$A$37)*((MAX(0,L40+AA40+AB40-(Tables!$B$22+IF(B40&gt;=Tables!$B$27,2*Tables!$B$23,0))))-Tables!$A$31:$A$37)*Tables!$C$31:$C$37)-O40</f>
        <v/>
      </c>
      <c r="AD40">
        <f>IF((L40+AC40)+0.5*H40&lt;=Tables!$B$24,0,IF((L40+AC40)+0.5*H40&lt;=Tables!$B$25,MIN(0.5*H40,0.5*((L40+AC40)+0.5*H40-Tables!$B$24)),MIN(0.85*H40,0.85*((L40+AC40)+0.5*H40-Tables!$B$25)+MIN(Tables!$B$26,0.5*H40))))</f>
        <v/>
      </c>
      <c r="AE40">
        <f>R40+SUMPRODUCT(((MAX(0,L40+AC40+AD40-(Tables!$B$22+IF(B40&gt;=Tables!$B$27,2*Tables!$B$23,0))))&gt;Tables!$A$31:$A$37)*((MAX(0,L40+AC40+AD40-(Tables!$B$22+IF(B40&gt;=Tables!$B$27,2*Tables!$B$23,0))))-Tables!$A$31:$A$37)*Tables!$C$31:$C$37)-O40</f>
        <v/>
      </c>
      <c r="AF40">
        <f>IF((L40+AE40)+0.5*H40&lt;=Tables!$B$24,0,IF((L40+AE40)+0.5*H40&lt;=Tables!$B$25,MIN(0.5*H40,0.5*((L40+AE40)+0.5*H40-Tables!$B$24)),MIN(0.85*H40,0.85*((L40+AE40)+0.5*H40-Tables!$B$25)+MIN(Tables!$B$26,0.5*H40))))</f>
        <v/>
      </c>
      <c r="AG40">
        <f>R40+SUMPRODUCT(((MAX(0,L40+AE40+AF40-(Tables!$B$22+IF(B40&gt;=Tables!$B$27,2*Tables!$B$23,0))))&gt;Tables!$A$31:$A$37)*((MAX(0,L40+AE40+AF40-(Tables!$B$22+IF(B40&gt;=Tables!$B$27,2*Tables!$B$23,0))))-Tables!$A$31:$A$37)*Tables!$C$31:$C$37)-O40</f>
        <v/>
      </c>
      <c r="AH40">
        <f>IF((L40+AG40)+0.5*H40&lt;=Tables!$B$24,0,IF((L40+AG40)+0.5*H40&lt;=Tables!$B$25,MIN(0.5*H40,0.5*((L40+AG40)+0.5*H40-Tables!$B$24)),MIN(0.85*H40,0.85*((L40+AG40)+0.5*H40-Tables!$B$25)+MIN(Tables!$B$26,0.5*H40))))</f>
        <v/>
      </c>
      <c r="AI40">
        <f>R40+SUMPRODUCT(((MAX(0,L40+AG40+AH40-(Tables!$B$22+IF(B40&gt;=Tables!$B$27,2*Tables!$B$23,0))))&gt;Tables!$A$31:$A$37)*((MAX(0,L40+AG40+AH40-(Tables!$B$22+IF(B40&gt;=Tables!$B$27,2*Tables!$B$23,0))))-Tables!$A$31:$A$37)*Tables!$C$31:$C$37)-O40</f>
        <v/>
      </c>
      <c r="AJ40">
        <f>IF((L40+AI40)+0.5*H40&lt;=Tables!$B$24,0,IF((L40+AI40)+0.5*H40&lt;=Tables!$B$25,MIN(0.5*H40,0.5*((L40+AI40)+0.5*H40-Tables!$B$24)),MIN(0.85*H40,0.85*((L40+AI40)+0.5*H40-Tables!$B$25)+MIN(Tables!$B$26,0.5*H40))))</f>
        <v/>
      </c>
      <c r="AK40">
        <f>R40+SUMPRODUCT(((MAX(0,L40+AI40+AJ40-(Tables!$B$22+IF(B40&gt;=Tables!$B$27,2*Tables!$B$23,0))))&gt;Tables!$A$31:$A$37)*((MAX(0,L40+AI40+AJ40-(Tables!$B$22+IF(B40&gt;=Tables!$B$27,2*Tables!$B$23,0))))-Tables!$A$31:$A$37)*Tables!$C$31:$C$37)-O40</f>
        <v/>
      </c>
      <c r="AL40">
        <f>IF((L40+AK40)+0.5*H40&lt;=Tables!$B$24,0,IF((L40+AK40)+0.5*H40&lt;=Tables!$B$25,MIN(0.5*H40,0.5*((L40+AK40)+0.5*H40-Tables!$B$24)),MIN(0.85*H40,0.85*((L40+AK40)+0.5*H40-Tables!$B$25)+MIN(Tables!$B$26,0.5*H40))))</f>
        <v/>
      </c>
      <c r="AM40">
        <f>R40+SUMPRODUCT(((MAX(0,L40+AK40+AL40-(Tables!$B$22+IF(B40&gt;=Tables!$B$27,2*Tables!$B$23,0))))&gt;Tables!$A$31:$A$37)*((MAX(0,L40+AK40+AL40-(Tables!$B$22+IF(B40&gt;=Tables!$B$27,2*Tables!$B$23,0))))-Tables!$A$31:$A$37)*Tables!$C$31:$C$37)-O40</f>
        <v/>
      </c>
      <c r="AN40">
        <f>IF((L40+AM40)+0.5*H40&lt;=Tables!$B$24,0,IF((L40+AM40)+0.5*H40&lt;=Tables!$B$25,MIN(0.5*H40,0.5*((L40+AM40)+0.5*H40-Tables!$B$24)),MIN(0.85*H40,0.85*((L40+AM40)+0.5*H40-Tables!$B$25)+MIN(Tables!$B$26,0.5*H40))))</f>
        <v/>
      </c>
      <c r="AO40">
        <f>R40+SUMPRODUCT(((MAX(0,L40+AM40+AN40-(Tables!$B$22+IF(B40&gt;=Tables!$B$27,2*Tables!$B$23,0))))&gt;Tables!$A$31:$A$37)*((MAX(0,L40+AM40+AN40-(Tables!$B$22+IF(B40&gt;=Tables!$B$27,2*Tables!$B$23,0))))-Tables!$A$31:$A$37)*Tables!$C$31:$C$37)-O40</f>
        <v/>
      </c>
      <c r="AP40">
        <f>IF((L40+AO40)+0.5*H40&lt;=Tables!$B$24,0,IF((L40+AO40)+0.5*H40&lt;=Tables!$B$25,MIN(0.5*H40,0.5*((L40+AO40)+0.5*H40-Tables!$B$24)),MIN(0.85*H40,0.85*((L40+AO40)+0.5*H40-Tables!$B$25)+MIN(Tables!$B$26,0.5*H40))))</f>
        <v/>
      </c>
      <c r="AQ40">
        <f>R40+SUMPRODUCT(((MAX(0,L40+AO40+AP40-(Tables!$B$22+IF(B40&gt;=Tables!$B$27,2*Tables!$B$23,0))))&gt;Tables!$A$31:$A$37)*((MAX(0,L40+AO40+AP40-(Tables!$B$22+IF(B40&gt;=Tables!$B$27,2*Tables!$B$23,0))))-Tables!$A$31:$A$37)*Tables!$C$31:$C$37)-O40</f>
        <v/>
      </c>
      <c r="AR40">
        <f>IF((L40+AQ40)+0.5*H40&lt;=Tables!$B$24,0,IF((L40+AQ40)+0.5*H40&lt;=Tables!$B$25,MIN(0.5*H40,0.5*((L40+AQ40)+0.5*H40-Tables!$B$24)),MIN(0.85*H40,0.85*((L40+AQ40)+0.5*H40-Tables!$B$25)+MIN(Tables!$B$26,0.5*H40))))</f>
        <v/>
      </c>
      <c r="AS40">
        <f>R40+SUMPRODUCT(((MAX(0,L40+AQ40+AR40-(Tables!$B$22+IF(B40&gt;=Tables!$B$27,2*Tables!$B$23,0))))&gt;Tables!$A$31:$A$37)*((MAX(0,L40+AQ40+AR40-(Tables!$B$22+IF(B40&gt;=Tables!$B$27,2*Tables!$B$23,0))))-Tables!$A$31:$A$37)*Tables!$C$31:$C$37)-O40</f>
        <v/>
      </c>
      <c r="AT40">
        <f>IF((L40+AS40)+0.5*H40&lt;=Tables!$B$24,0,IF((L40+AS40)+0.5*H40&lt;=Tables!$B$25,MIN(0.5*H40,0.5*((L40+AS40)+0.5*H40-Tables!$B$24)),MIN(0.85*H40,0.85*((L40+AS40)+0.5*H40-Tables!$B$25)+MIN(Tables!$B$26,0.5*H40))))</f>
        <v/>
      </c>
      <c r="AU40">
        <f>R40+SUMPRODUCT(((MAX(0,L40+AS40+AT40-(Tables!$B$22+IF(B40&gt;=Tables!$B$27,2*Tables!$B$23,0))))&gt;Tables!$A$31:$A$37)*((MAX(0,L40+AS40+AT40-(Tables!$B$22+IF(B40&gt;=Tables!$B$27,2*Tables!$B$23,0))))-Tables!$A$31:$A$37)*Tables!$C$31:$C$37)-O40</f>
        <v/>
      </c>
      <c r="AV40">
        <f>IF((L40+AU40)+0.5*H40&lt;=Tables!$B$24,0,IF((L40+AU40)+0.5*H40&lt;=Tables!$B$25,MIN(0.5*H40,0.5*((L40+AU40)+0.5*H40-Tables!$B$24)),MIN(0.85*H40,0.85*((L40+AU40)+0.5*H40-Tables!$B$25)+MIN(Tables!$B$26,0.5*H40))))</f>
        <v/>
      </c>
      <c r="AW40">
        <f>R40+SUMPRODUCT(((MAX(0,L40+AU40+AV40-(Tables!$B$22+IF(B40&gt;=Tables!$B$27,2*Tables!$B$23,0))))&gt;Tables!$A$31:$A$37)*((MAX(0,L40+AU40+AV40-(Tables!$B$22+IF(B40&gt;=Tables!$B$27,2*Tables!$B$23,0))))-Tables!$A$31:$A$37)*Tables!$C$31:$C$37)-O40</f>
        <v/>
      </c>
      <c r="AX40">
        <f>IF((L40+AW40)+0.5*H40&lt;=Tables!$B$24,0,IF((L40+AW40)+0.5*H40&lt;=Tables!$B$25,MIN(0.5*H40,0.5*((L40+AW40)+0.5*H40-Tables!$B$24)),MIN(0.85*H40,0.85*((L40+AW40)+0.5*H40-Tables!$B$25)+MIN(Tables!$B$26,0.5*H40))))</f>
        <v/>
      </c>
      <c r="AY40">
        <f>R40+SUMPRODUCT(((MAX(0,L40+AW40+AX40-(Tables!$B$22+IF(B40&gt;=Tables!$B$27,2*Tables!$B$23,0))))&gt;Tables!$A$31:$A$37)*((MAX(0,L40+AW40+AX40-(Tables!$B$22+IF(B40&gt;=Tables!$B$27,2*Tables!$B$23,0))))-Tables!$A$31:$A$37)*Tables!$C$31:$C$37)-O40</f>
        <v/>
      </c>
      <c r="AZ40">
        <f>IF((L40+AY40)+0.5*H40&lt;=Tables!$B$24,0,IF((L40+AY40)+0.5*H40&lt;=Tables!$B$25,MIN(0.5*H40,0.5*((L40+AY40)+0.5*H40-Tables!$B$24)),MIN(0.85*H40,0.85*((L40+AY40)+0.5*H40-Tables!$B$25)+MIN(Tables!$B$26,0.5*H40))))</f>
        <v/>
      </c>
      <c r="BA40">
        <f>R40+SUMPRODUCT(((MAX(0,L40+AY40+AZ40-(Tables!$B$22+IF(B40&gt;=Tables!$B$27,2*Tables!$B$23,0))))&gt;Tables!$A$31:$A$37)*((MAX(0,L40+AY40+AZ40-(Tables!$B$22+IF(B40&gt;=Tables!$B$27,2*Tables!$B$23,0))))-Tables!$A$31:$A$37)*Tables!$C$31:$C$37)-O40</f>
        <v/>
      </c>
      <c r="BB40">
        <f>IF((L40+BA40)+0.5*H40&lt;=Tables!$B$24,0,IF((L40+BA40)+0.5*H40&lt;=Tables!$B$25,MIN(0.5*H40,0.5*((L40+BA40)+0.5*H40-Tables!$B$24)),MIN(0.85*H40,0.85*((L40+BA40)+0.5*H40-Tables!$B$25)+MIN(Tables!$B$26,0.5*H40))))</f>
        <v/>
      </c>
      <c r="BC40">
        <f>R40+SUMPRODUCT(((MAX(0,L40+BA40+BB40-(Tables!$B$22+IF(B40&gt;=Tables!$B$27,2*Tables!$B$23,0))))&gt;Tables!$A$31:$A$37)*((MAX(0,L40+BA40+BB40-(Tables!$B$22+IF(B40&gt;=Tables!$B$27,2*Tables!$B$23,0))))-Tables!$A$31:$A$37)*Tables!$C$31:$C$37)-O40</f>
        <v/>
      </c>
      <c r="BD40">
        <f>IF((L40+BC40)+0.5*H40&lt;=Tables!$B$24,0,IF((L40+BC40)+0.5*H40&lt;=Tables!$B$25,MIN(0.5*H40,0.5*((L40+BC40)+0.5*H40-Tables!$B$24)),MIN(0.85*H40,0.85*((L40+BC40)+0.5*H40-Tables!$B$25)+MIN(Tables!$B$26,0.5*H40))))</f>
        <v/>
      </c>
      <c r="BE40">
        <f>R40+SUMPRODUCT(((MAX(0,L40+BC40+BD40-(Tables!$B$22+IF(B40&gt;=Tables!$B$27,2*Tables!$B$23,0))))&gt;Tables!$A$31:$A$37)*((MAX(0,L40+BC40+BD40-(Tables!$B$22+IF(B40&gt;=Tables!$B$27,2*Tables!$B$23,0))))-Tables!$A$31:$A$37)*Tables!$C$31:$C$37)-O40</f>
        <v/>
      </c>
      <c r="BF40">
        <f>IF((L40+BE40)+0.5*H40&lt;=Tables!$B$24,0,IF((L40+BE40)+0.5*H40&lt;=Tables!$B$25,MIN(0.5*H40,0.5*((L40+BE40)+0.5*H40-Tables!$B$24)),MIN(0.85*H40,0.85*((L40+BE40)+0.5*H40-Tables!$B$25)+MIN(Tables!$B$26,0.5*H40))))</f>
        <v/>
      </c>
      <c r="BG40">
        <f>R40+SUMPRODUCT(((MAX(0,L40+BE40+BF40-(Tables!$B$22+IF(B40&gt;=Tables!$B$27,2*Tables!$B$23,0))))&gt;Tables!$A$31:$A$37)*((MAX(0,L40+BE40+BF40-(Tables!$B$22+IF(B40&gt;=Tables!$B$27,2*Tables!$B$23,0))))-Tables!$A$31:$A$37)*Tables!$C$31:$C$37)-O40</f>
        <v/>
      </c>
      <c r="BH40">
        <f>IF((L40+BG40)+0.5*H40&lt;=Tables!$B$24,0,IF((L40+BG40)+0.5*H40&lt;=Tables!$B$25,MIN(0.5*H40,0.5*((L40+BG40)+0.5*H40-Tables!$B$24)),MIN(0.85*H40,0.85*((L40+BG40)+0.5*H40-Tables!$B$25)+MIN(Tables!$B$26,0.5*H40))))</f>
        <v/>
      </c>
      <c r="BI40">
        <f>R40+SUMPRODUCT(((MAX(0,L40+BG40+BH40-(Tables!$B$22+IF(B40&gt;=Tables!$B$27,2*Tables!$B$23,0))))&gt;Tables!$A$31:$A$37)*((MAX(0,L40+BG40+BH40-(Tables!$B$22+IF(B40&gt;=Tables!$B$27,2*Tables!$B$23,0))))-Tables!$A$31:$A$37)*Tables!$C$31:$C$37)-O40</f>
        <v/>
      </c>
      <c r="BJ40">
        <f>IF((L40+BI40)+0.5*H40&lt;=Tables!$B$24,0,IF((L40+BI40)+0.5*H40&lt;=Tables!$B$25,MIN(0.5*H40,0.5*((L40+BI40)+0.5*H40-Tables!$B$24)),MIN(0.85*H40,0.85*((L40+BI40)+0.5*H40-Tables!$B$25)+MIN(Tables!$B$26,0.5*H40))))</f>
        <v/>
      </c>
      <c r="BK40">
        <f>R40+SUMPRODUCT(((MAX(0,L40+BI40+BJ40-(Tables!$B$22+IF(B40&gt;=Tables!$B$27,2*Tables!$B$23,0))))&gt;Tables!$A$31:$A$37)*((MAX(0,L40+BI40+BJ40-(Tables!$B$22+IF(B40&gt;=Tables!$B$27,2*Tables!$B$23,0))))-Tables!$A$31:$A$37)*Tables!$C$31:$C$37)-O40</f>
        <v/>
      </c>
      <c r="BL40">
        <f>IF((L40+BK40)+0.5*H40&lt;=Tables!$B$24,0,IF((L40+BK40)+0.5*H40&lt;=Tables!$B$25,MIN(0.5*H40,0.5*((L40+BK40)+0.5*H40-Tables!$B$24)),MIN(0.85*H40,0.85*((L40+BK40)+0.5*H40-Tables!$B$25)+MIN(Tables!$B$26,0.5*H40))))</f>
        <v/>
      </c>
      <c r="BM40">
        <f>R40+SUMPRODUCT(((MAX(0,L40+BK40+BL40-(Tables!$B$22+IF(B40&gt;=Tables!$B$27,2*Tables!$B$23,0))))&gt;Tables!$A$31:$A$37)*((MAX(0,L40+BK40+BL40-(Tables!$B$22+IF(B40&gt;=Tables!$B$27,2*Tables!$B$23,0))))-Tables!$A$31:$A$37)*Tables!$C$31:$C$37)-O40</f>
        <v/>
      </c>
      <c r="BN40">
        <f>IF((L40+BM40)+0.5*H40&lt;=Tables!$B$24,0,IF((L40+BM40)+0.5*H40&lt;=Tables!$B$25,MIN(0.5*H40,0.5*((L40+BM40)+0.5*H40-Tables!$B$24)),MIN(0.85*H40,0.85*((L40+BM40)+0.5*H40-Tables!$B$25)+MIN(Tables!$B$26,0.5*H40))))</f>
        <v/>
      </c>
      <c r="BO40">
        <f>R40+SUMPRODUCT(((MAX(0,L40+BM40+BN40-(Tables!$B$22+IF(B40&gt;=Tables!$B$27,2*Tables!$B$23,0))))&gt;Tables!$A$31:$A$37)*((MAX(0,L40+BM40+BN40-(Tables!$B$22+IF(B40&gt;=Tables!$B$27,2*Tables!$B$23,0))))-Tables!$A$31:$A$37)*Tables!$C$31:$C$37)-O40</f>
        <v/>
      </c>
      <c r="BP40">
        <f>MIN(BO40,S40)</f>
        <v/>
      </c>
      <c r="BQ40">
        <f>L40+BP40</f>
        <v/>
      </c>
      <c r="BR40">
        <f>IF(BQ40+0.5*H40&lt;=Tables!$B$24,0,IF(BQ40+0.5*H40&lt;=Tables!$B$25,MIN(0.5*H40,0.5*(BQ40+0.5*H40-Tables!$B$24)),MIN(0.85*H40,0.85*(BQ40+0.5*H40-Tables!$B$25)+MIN(Tables!$B$26,0.5*H40))))</f>
        <v/>
      </c>
      <c r="BS40">
        <f>MAX(0,BQ40+BR40-(Tables!$B$22+IF(B40&gt;=Tables!$B$27,2*Tables!$B$23,0)))</f>
        <v/>
      </c>
      <c r="BT40">
        <f>SUMPRODUCT(((BS40)&gt;Tables!$A$31:$A$37)*((BS40)-Tables!$A$31:$A$37)*Tables!$C$31:$C$37)</f>
        <v/>
      </c>
      <c r="BU40">
        <f>MAX(0,G40-(H40+BQ40+Q40-BT40))</f>
        <v/>
      </c>
      <c r="BV40">
        <f>MIN(J40,BU40)</f>
        <v/>
      </c>
      <c r="BW40">
        <f>H40+BQ40+Q40+BV40</f>
        <v/>
      </c>
      <c r="BX40">
        <f>MAX(0,BW40-G40-BT40)</f>
        <v/>
      </c>
      <c r="BY40">
        <f>MAX(0,G40+BT40-BW40)</f>
        <v/>
      </c>
      <c r="BZ40">
        <f>IF(C40=0,0,MAX(0,I40-BQ40)*(1+D40))</f>
        <v/>
      </c>
      <c r="CA40">
        <f>IF(C40=0,0,MAX(0,J40-BV40)*(1+D40))</f>
        <v/>
      </c>
      <c r="CB40">
        <f>IF(C40=0,0,MAX(0,K40-Q40+BX40)*(1+D40))</f>
        <v/>
      </c>
      <c r="CC40">
        <f>IF(C40=0,CC39,BZ40+CA40+CB40)</f>
        <v/>
      </c>
      <c r="CD40">
        <f>IF(C40=0,9999,IF(OR(BY40&gt;0.0001,CC40&lt;=0.0001),B40,9999))</f>
        <v/>
      </c>
    </row>
    <row r="41">
      <c r="A41" t="n">
        <v>39</v>
      </c>
      <c r="B41">
        <f>Tables!$B$13+A41</f>
        <v/>
      </c>
      <c r="C41">
        <f>IF(B41&lt;=Tables!$B$18,1,0)</f>
        <v/>
      </c>
      <c r="D41">
        <f>INDEX(Tables!$B$83:$B$123,A41+1)</f>
        <v/>
      </c>
      <c r="E41">
        <f>IF(A41=0,0,INDEX(Tables!$B$83:$B$123,A41))</f>
        <v/>
      </c>
      <c r="F41">
        <f>IF(AND(C41=1,Tables!$B$17="YES",A41&gt;0,E41&lt;Tables!$B$16),Tables!$B$15,0)</f>
        <v/>
      </c>
      <c r="G41">
        <f>IF(C41=0,0,Tables!$B$8-IF(B41&gt;=Tables!$B$7,Tables!$B$6,0)+IF(B41&lt;Tables!$B$27,Tables!$B$9,Tables!$B$10)-F41)</f>
        <v/>
      </c>
      <c r="H41">
        <f>IF(C41=0,0,IF(B41&gt;=Tables!$B$78,Tables!$D$78,0)+IF(B41&gt;=Tables!$C$78,Tables!$E$78,0))</f>
        <v/>
      </c>
      <c r="I41">
        <f>IF(C41=0,0,BZ40)</f>
        <v/>
      </c>
      <c r="J41">
        <f>IF(C41=0,0,CA40)</f>
        <v/>
      </c>
      <c r="K41">
        <f>IF(C41=0,0,CB40)</f>
        <v/>
      </c>
      <c r="L41">
        <f>IF(C41=0,0,IF(B41&gt;=Tables!$B$19,MIN(I41,I41/VLOOKUP(B41,Tables!$A$41:$B$61,2,FALSE)),0))</f>
        <v/>
      </c>
      <c r="M41">
        <f>IF(L41+0.5*H41&lt;=Tables!$B$24,0,IF(L41+0.5*H41&lt;=Tables!$B$25,MIN(0.5*H41,0.5*(L41+0.5*H41-Tables!$B$24)),MIN(0.85*H41,0.85*(L41+0.5*H41-Tables!$B$25)+MIN(Tables!$B$26,0.5*H41))))</f>
        <v/>
      </c>
      <c r="N41">
        <f>MAX(0,L41+M41-(Tables!$B$22+IF(B41&gt;=Tables!$B$27,2*Tables!$B$23,0)))</f>
        <v/>
      </c>
      <c r="O41">
        <f>SUMPRODUCT(((N41)&gt;Tables!$A$31:$A$37)*((N41)-Tables!$A$31:$A$37)*Tables!$C$31:$C$37)</f>
        <v/>
      </c>
      <c r="P41">
        <f>G41-(H41+L41-O41)</f>
        <v/>
      </c>
      <c r="Q41">
        <f>MIN(K41,MAX(0,P41))</f>
        <v/>
      </c>
      <c r="R41">
        <f>MAX(0,P41-Q41)</f>
        <v/>
      </c>
      <c r="S41">
        <f>MAX(0,I41-L41)</f>
        <v/>
      </c>
      <c r="T41">
        <f>IF((L41+R41)+0.5*H41&lt;=Tables!$B$24,0,IF((L41+R41)+0.5*H41&lt;=Tables!$B$25,MIN(0.5*H41,0.5*((L41+R41)+0.5*H41-Tables!$B$24)),MIN(0.85*H41,0.85*((L41+R41)+0.5*H41-Tables!$B$25)+MIN(Tables!$B$26,0.5*H41))))</f>
        <v/>
      </c>
      <c r="U41">
        <f>R41+SUMPRODUCT(((MAX(0,L41+R41+T41-(Tables!$B$22+IF(B41&gt;=Tables!$B$27,2*Tables!$B$23,0))))&gt;Tables!$A$31:$A$37)*((MAX(0,L41+R41+T41-(Tables!$B$22+IF(B41&gt;=Tables!$B$27,2*Tables!$B$23,0))))-Tables!$A$31:$A$37)*Tables!$C$31:$C$37)-O41</f>
        <v/>
      </c>
      <c r="V41">
        <f>IF((L41+U41)+0.5*H41&lt;=Tables!$B$24,0,IF((L41+U41)+0.5*H41&lt;=Tables!$B$25,MIN(0.5*H41,0.5*((L41+U41)+0.5*H41-Tables!$B$24)),MIN(0.85*H41,0.85*((L41+U41)+0.5*H41-Tables!$B$25)+MIN(Tables!$B$26,0.5*H41))))</f>
        <v/>
      </c>
      <c r="W41">
        <f>R41+SUMPRODUCT(((MAX(0,L41+U41+V41-(Tables!$B$22+IF(B41&gt;=Tables!$B$27,2*Tables!$B$23,0))))&gt;Tables!$A$31:$A$37)*((MAX(0,L41+U41+V41-(Tables!$B$22+IF(B41&gt;=Tables!$B$27,2*Tables!$B$23,0))))-Tables!$A$31:$A$37)*Tables!$C$31:$C$37)-O41</f>
        <v/>
      </c>
      <c r="X41">
        <f>IF((L41+W41)+0.5*H41&lt;=Tables!$B$24,0,IF((L41+W41)+0.5*H41&lt;=Tables!$B$25,MIN(0.5*H41,0.5*((L41+W41)+0.5*H41-Tables!$B$24)),MIN(0.85*H41,0.85*((L41+W41)+0.5*H41-Tables!$B$25)+MIN(Tables!$B$26,0.5*H41))))</f>
        <v/>
      </c>
      <c r="Y41">
        <f>R41+SUMPRODUCT(((MAX(0,L41+W41+X41-(Tables!$B$22+IF(B41&gt;=Tables!$B$27,2*Tables!$B$23,0))))&gt;Tables!$A$31:$A$37)*((MAX(0,L41+W41+X41-(Tables!$B$22+IF(B41&gt;=Tables!$B$27,2*Tables!$B$23,0))))-Tables!$A$31:$A$37)*Tables!$C$31:$C$37)-O41</f>
        <v/>
      </c>
      <c r="Z41">
        <f>IF((L41+Y41)+0.5*H41&lt;=Tables!$B$24,0,IF((L41+Y41)+0.5*H41&lt;=Tables!$B$25,MIN(0.5*H41,0.5*((L41+Y41)+0.5*H41-Tables!$B$24)),MIN(0.85*H41,0.85*((L41+Y41)+0.5*H41-Tables!$B$25)+MIN(Tables!$B$26,0.5*H41))))</f>
        <v/>
      </c>
      <c r="AA41">
        <f>R41+SUMPRODUCT(((MAX(0,L41+Y41+Z41-(Tables!$B$22+IF(B41&gt;=Tables!$B$27,2*Tables!$B$23,0))))&gt;Tables!$A$31:$A$37)*((MAX(0,L41+Y41+Z41-(Tables!$B$22+IF(B41&gt;=Tables!$B$27,2*Tables!$B$23,0))))-Tables!$A$31:$A$37)*Tables!$C$31:$C$37)-O41</f>
        <v/>
      </c>
      <c r="AB41">
        <f>IF((L41+AA41)+0.5*H41&lt;=Tables!$B$24,0,IF((L41+AA41)+0.5*H41&lt;=Tables!$B$25,MIN(0.5*H41,0.5*((L41+AA41)+0.5*H41-Tables!$B$24)),MIN(0.85*H41,0.85*((L41+AA41)+0.5*H41-Tables!$B$25)+MIN(Tables!$B$26,0.5*H41))))</f>
        <v/>
      </c>
      <c r="AC41">
        <f>R41+SUMPRODUCT(((MAX(0,L41+AA41+AB41-(Tables!$B$22+IF(B41&gt;=Tables!$B$27,2*Tables!$B$23,0))))&gt;Tables!$A$31:$A$37)*((MAX(0,L41+AA41+AB41-(Tables!$B$22+IF(B41&gt;=Tables!$B$27,2*Tables!$B$23,0))))-Tables!$A$31:$A$37)*Tables!$C$31:$C$37)-O41</f>
        <v/>
      </c>
      <c r="AD41">
        <f>IF((L41+AC41)+0.5*H41&lt;=Tables!$B$24,0,IF((L41+AC41)+0.5*H41&lt;=Tables!$B$25,MIN(0.5*H41,0.5*((L41+AC41)+0.5*H41-Tables!$B$24)),MIN(0.85*H41,0.85*((L41+AC41)+0.5*H41-Tables!$B$25)+MIN(Tables!$B$26,0.5*H41))))</f>
        <v/>
      </c>
      <c r="AE41">
        <f>R41+SUMPRODUCT(((MAX(0,L41+AC41+AD41-(Tables!$B$22+IF(B41&gt;=Tables!$B$27,2*Tables!$B$23,0))))&gt;Tables!$A$31:$A$37)*((MAX(0,L41+AC41+AD41-(Tables!$B$22+IF(B41&gt;=Tables!$B$27,2*Tables!$B$23,0))))-Tables!$A$31:$A$37)*Tables!$C$31:$C$37)-O41</f>
        <v/>
      </c>
      <c r="AF41">
        <f>IF((L41+AE41)+0.5*H41&lt;=Tables!$B$24,0,IF((L41+AE41)+0.5*H41&lt;=Tables!$B$25,MIN(0.5*H41,0.5*((L41+AE41)+0.5*H41-Tables!$B$24)),MIN(0.85*H41,0.85*((L41+AE41)+0.5*H41-Tables!$B$25)+MIN(Tables!$B$26,0.5*H41))))</f>
        <v/>
      </c>
      <c r="AG41">
        <f>R41+SUMPRODUCT(((MAX(0,L41+AE41+AF41-(Tables!$B$22+IF(B41&gt;=Tables!$B$27,2*Tables!$B$23,0))))&gt;Tables!$A$31:$A$37)*((MAX(0,L41+AE41+AF41-(Tables!$B$22+IF(B41&gt;=Tables!$B$27,2*Tables!$B$23,0))))-Tables!$A$31:$A$37)*Tables!$C$31:$C$37)-O41</f>
        <v/>
      </c>
      <c r="AH41">
        <f>IF((L41+AG41)+0.5*H41&lt;=Tables!$B$24,0,IF((L41+AG41)+0.5*H41&lt;=Tables!$B$25,MIN(0.5*H41,0.5*((L41+AG41)+0.5*H41-Tables!$B$24)),MIN(0.85*H41,0.85*((L41+AG41)+0.5*H41-Tables!$B$25)+MIN(Tables!$B$26,0.5*H41))))</f>
        <v/>
      </c>
      <c r="AI41">
        <f>R41+SUMPRODUCT(((MAX(0,L41+AG41+AH41-(Tables!$B$22+IF(B41&gt;=Tables!$B$27,2*Tables!$B$23,0))))&gt;Tables!$A$31:$A$37)*((MAX(0,L41+AG41+AH41-(Tables!$B$22+IF(B41&gt;=Tables!$B$27,2*Tables!$B$23,0))))-Tables!$A$31:$A$37)*Tables!$C$31:$C$37)-O41</f>
        <v/>
      </c>
      <c r="AJ41">
        <f>IF((L41+AI41)+0.5*H41&lt;=Tables!$B$24,0,IF((L41+AI41)+0.5*H41&lt;=Tables!$B$25,MIN(0.5*H41,0.5*((L41+AI41)+0.5*H41-Tables!$B$24)),MIN(0.85*H41,0.85*((L41+AI41)+0.5*H41-Tables!$B$25)+MIN(Tables!$B$26,0.5*H41))))</f>
        <v/>
      </c>
      <c r="AK41">
        <f>R41+SUMPRODUCT(((MAX(0,L41+AI41+AJ41-(Tables!$B$22+IF(B41&gt;=Tables!$B$27,2*Tables!$B$23,0))))&gt;Tables!$A$31:$A$37)*((MAX(0,L41+AI41+AJ41-(Tables!$B$22+IF(B41&gt;=Tables!$B$27,2*Tables!$B$23,0))))-Tables!$A$31:$A$37)*Tables!$C$31:$C$37)-O41</f>
        <v/>
      </c>
      <c r="AL41">
        <f>IF((L41+AK41)+0.5*H41&lt;=Tables!$B$24,0,IF((L41+AK41)+0.5*H41&lt;=Tables!$B$25,MIN(0.5*H41,0.5*((L41+AK41)+0.5*H41-Tables!$B$24)),MIN(0.85*H41,0.85*((L41+AK41)+0.5*H41-Tables!$B$25)+MIN(Tables!$B$26,0.5*H41))))</f>
        <v/>
      </c>
      <c r="AM41">
        <f>R41+SUMPRODUCT(((MAX(0,L41+AK41+AL41-(Tables!$B$22+IF(B41&gt;=Tables!$B$27,2*Tables!$B$23,0))))&gt;Tables!$A$31:$A$37)*((MAX(0,L41+AK41+AL41-(Tables!$B$22+IF(B41&gt;=Tables!$B$27,2*Tables!$B$23,0))))-Tables!$A$31:$A$37)*Tables!$C$31:$C$37)-O41</f>
        <v/>
      </c>
      <c r="AN41">
        <f>IF((L41+AM41)+0.5*H41&lt;=Tables!$B$24,0,IF((L41+AM41)+0.5*H41&lt;=Tables!$B$25,MIN(0.5*H41,0.5*((L41+AM41)+0.5*H41-Tables!$B$24)),MIN(0.85*H41,0.85*((L41+AM41)+0.5*H41-Tables!$B$25)+MIN(Tables!$B$26,0.5*H41))))</f>
        <v/>
      </c>
      <c r="AO41">
        <f>R41+SUMPRODUCT(((MAX(0,L41+AM41+AN41-(Tables!$B$22+IF(B41&gt;=Tables!$B$27,2*Tables!$B$23,0))))&gt;Tables!$A$31:$A$37)*((MAX(0,L41+AM41+AN41-(Tables!$B$22+IF(B41&gt;=Tables!$B$27,2*Tables!$B$23,0))))-Tables!$A$31:$A$37)*Tables!$C$31:$C$37)-O41</f>
        <v/>
      </c>
      <c r="AP41">
        <f>IF((L41+AO41)+0.5*H41&lt;=Tables!$B$24,0,IF((L41+AO41)+0.5*H41&lt;=Tables!$B$25,MIN(0.5*H41,0.5*((L41+AO41)+0.5*H41-Tables!$B$24)),MIN(0.85*H41,0.85*((L41+AO41)+0.5*H41-Tables!$B$25)+MIN(Tables!$B$26,0.5*H41))))</f>
        <v/>
      </c>
      <c r="AQ41">
        <f>R41+SUMPRODUCT(((MAX(0,L41+AO41+AP41-(Tables!$B$22+IF(B41&gt;=Tables!$B$27,2*Tables!$B$23,0))))&gt;Tables!$A$31:$A$37)*((MAX(0,L41+AO41+AP41-(Tables!$B$22+IF(B41&gt;=Tables!$B$27,2*Tables!$B$23,0))))-Tables!$A$31:$A$37)*Tables!$C$31:$C$37)-O41</f>
        <v/>
      </c>
      <c r="AR41">
        <f>IF((L41+AQ41)+0.5*H41&lt;=Tables!$B$24,0,IF((L41+AQ41)+0.5*H41&lt;=Tables!$B$25,MIN(0.5*H41,0.5*((L41+AQ41)+0.5*H41-Tables!$B$24)),MIN(0.85*H41,0.85*((L41+AQ41)+0.5*H41-Tables!$B$25)+MIN(Tables!$B$26,0.5*H41))))</f>
        <v/>
      </c>
      <c r="AS41">
        <f>R41+SUMPRODUCT(((MAX(0,L41+AQ41+AR41-(Tables!$B$22+IF(B41&gt;=Tables!$B$27,2*Tables!$B$23,0))))&gt;Tables!$A$31:$A$37)*((MAX(0,L41+AQ41+AR41-(Tables!$B$22+IF(B41&gt;=Tables!$B$27,2*Tables!$B$23,0))))-Tables!$A$31:$A$37)*Tables!$C$31:$C$37)-O41</f>
        <v/>
      </c>
      <c r="AT41">
        <f>IF((L41+AS41)+0.5*H41&lt;=Tables!$B$24,0,IF((L41+AS41)+0.5*H41&lt;=Tables!$B$25,MIN(0.5*H41,0.5*((L41+AS41)+0.5*H41-Tables!$B$24)),MIN(0.85*H41,0.85*((L41+AS41)+0.5*H41-Tables!$B$25)+MIN(Tables!$B$26,0.5*H41))))</f>
        <v/>
      </c>
      <c r="AU41">
        <f>R41+SUMPRODUCT(((MAX(0,L41+AS41+AT41-(Tables!$B$22+IF(B41&gt;=Tables!$B$27,2*Tables!$B$23,0))))&gt;Tables!$A$31:$A$37)*((MAX(0,L41+AS41+AT41-(Tables!$B$22+IF(B41&gt;=Tables!$B$27,2*Tables!$B$23,0))))-Tables!$A$31:$A$37)*Tables!$C$31:$C$37)-O41</f>
        <v/>
      </c>
      <c r="AV41">
        <f>IF((L41+AU41)+0.5*H41&lt;=Tables!$B$24,0,IF((L41+AU41)+0.5*H41&lt;=Tables!$B$25,MIN(0.5*H41,0.5*((L41+AU41)+0.5*H41-Tables!$B$24)),MIN(0.85*H41,0.85*((L41+AU41)+0.5*H41-Tables!$B$25)+MIN(Tables!$B$26,0.5*H41))))</f>
        <v/>
      </c>
      <c r="AW41">
        <f>R41+SUMPRODUCT(((MAX(0,L41+AU41+AV41-(Tables!$B$22+IF(B41&gt;=Tables!$B$27,2*Tables!$B$23,0))))&gt;Tables!$A$31:$A$37)*((MAX(0,L41+AU41+AV41-(Tables!$B$22+IF(B41&gt;=Tables!$B$27,2*Tables!$B$23,0))))-Tables!$A$31:$A$37)*Tables!$C$31:$C$37)-O41</f>
        <v/>
      </c>
      <c r="AX41">
        <f>IF((L41+AW41)+0.5*H41&lt;=Tables!$B$24,0,IF((L41+AW41)+0.5*H41&lt;=Tables!$B$25,MIN(0.5*H41,0.5*((L41+AW41)+0.5*H41-Tables!$B$24)),MIN(0.85*H41,0.85*((L41+AW41)+0.5*H41-Tables!$B$25)+MIN(Tables!$B$26,0.5*H41))))</f>
        <v/>
      </c>
      <c r="AY41">
        <f>R41+SUMPRODUCT(((MAX(0,L41+AW41+AX41-(Tables!$B$22+IF(B41&gt;=Tables!$B$27,2*Tables!$B$23,0))))&gt;Tables!$A$31:$A$37)*((MAX(0,L41+AW41+AX41-(Tables!$B$22+IF(B41&gt;=Tables!$B$27,2*Tables!$B$23,0))))-Tables!$A$31:$A$37)*Tables!$C$31:$C$37)-O41</f>
        <v/>
      </c>
      <c r="AZ41">
        <f>IF((L41+AY41)+0.5*H41&lt;=Tables!$B$24,0,IF((L41+AY41)+0.5*H41&lt;=Tables!$B$25,MIN(0.5*H41,0.5*((L41+AY41)+0.5*H41-Tables!$B$24)),MIN(0.85*H41,0.85*((L41+AY41)+0.5*H41-Tables!$B$25)+MIN(Tables!$B$26,0.5*H41))))</f>
        <v/>
      </c>
      <c r="BA41">
        <f>R41+SUMPRODUCT(((MAX(0,L41+AY41+AZ41-(Tables!$B$22+IF(B41&gt;=Tables!$B$27,2*Tables!$B$23,0))))&gt;Tables!$A$31:$A$37)*((MAX(0,L41+AY41+AZ41-(Tables!$B$22+IF(B41&gt;=Tables!$B$27,2*Tables!$B$23,0))))-Tables!$A$31:$A$37)*Tables!$C$31:$C$37)-O41</f>
        <v/>
      </c>
      <c r="BB41">
        <f>IF((L41+BA41)+0.5*H41&lt;=Tables!$B$24,0,IF((L41+BA41)+0.5*H41&lt;=Tables!$B$25,MIN(0.5*H41,0.5*((L41+BA41)+0.5*H41-Tables!$B$24)),MIN(0.85*H41,0.85*((L41+BA41)+0.5*H41-Tables!$B$25)+MIN(Tables!$B$26,0.5*H41))))</f>
        <v/>
      </c>
      <c r="BC41">
        <f>R41+SUMPRODUCT(((MAX(0,L41+BA41+BB41-(Tables!$B$22+IF(B41&gt;=Tables!$B$27,2*Tables!$B$23,0))))&gt;Tables!$A$31:$A$37)*((MAX(0,L41+BA41+BB41-(Tables!$B$22+IF(B41&gt;=Tables!$B$27,2*Tables!$B$23,0))))-Tables!$A$31:$A$37)*Tables!$C$31:$C$37)-O41</f>
        <v/>
      </c>
      <c r="BD41">
        <f>IF((L41+BC41)+0.5*H41&lt;=Tables!$B$24,0,IF((L41+BC41)+0.5*H41&lt;=Tables!$B$25,MIN(0.5*H41,0.5*((L41+BC41)+0.5*H41-Tables!$B$24)),MIN(0.85*H41,0.85*((L41+BC41)+0.5*H41-Tables!$B$25)+MIN(Tables!$B$26,0.5*H41))))</f>
        <v/>
      </c>
      <c r="BE41">
        <f>R41+SUMPRODUCT(((MAX(0,L41+BC41+BD41-(Tables!$B$22+IF(B41&gt;=Tables!$B$27,2*Tables!$B$23,0))))&gt;Tables!$A$31:$A$37)*((MAX(0,L41+BC41+BD41-(Tables!$B$22+IF(B41&gt;=Tables!$B$27,2*Tables!$B$23,0))))-Tables!$A$31:$A$37)*Tables!$C$31:$C$37)-O41</f>
        <v/>
      </c>
      <c r="BF41">
        <f>IF((L41+BE41)+0.5*H41&lt;=Tables!$B$24,0,IF((L41+BE41)+0.5*H41&lt;=Tables!$B$25,MIN(0.5*H41,0.5*((L41+BE41)+0.5*H41-Tables!$B$24)),MIN(0.85*H41,0.85*((L41+BE41)+0.5*H41-Tables!$B$25)+MIN(Tables!$B$26,0.5*H41))))</f>
        <v/>
      </c>
      <c r="BG41">
        <f>R41+SUMPRODUCT(((MAX(0,L41+BE41+BF41-(Tables!$B$22+IF(B41&gt;=Tables!$B$27,2*Tables!$B$23,0))))&gt;Tables!$A$31:$A$37)*((MAX(0,L41+BE41+BF41-(Tables!$B$22+IF(B41&gt;=Tables!$B$27,2*Tables!$B$23,0))))-Tables!$A$31:$A$37)*Tables!$C$31:$C$37)-O41</f>
        <v/>
      </c>
      <c r="BH41">
        <f>IF((L41+BG41)+0.5*H41&lt;=Tables!$B$24,0,IF((L41+BG41)+0.5*H41&lt;=Tables!$B$25,MIN(0.5*H41,0.5*((L41+BG41)+0.5*H41-Tables!$B$24)),MIN(0.85*H41,0.85*((L41+BG41)+0.5*H41-Tables!$B$25)+MIN(Tables!$B$26,0.5*H41))))</f>
        <v/>
      </c>
      <c r="BI41">
        <f>R41+SUMPRODUCT(((MAX(0,L41+BG41+BH41-(Tables!$B$22+IF(B41&gt;=Tables!$B$27,2*Tables!$B$23,0))))&gt;Tables!$A$31:$A$37)*((MAX(0,L41+BG41+BH41-(Tables!$B$22+IF(B41&gt;=Tables!$B$27,2*Tables!$B$23,0))))-Tables!$A$31:$A$37)*Tables!$C$31:$C$37)-O41</f>
        <v/>
      </c>
      <c r="BJ41">
        <f>IF((L41+BI41)+0.5*H41&lt;=Tables!$B$24,0,IF((L41+BI41)+0.5*H41&lt;=Tables!$B$25,MIN(0.5*H41,0.5*((L41+BI41)+0.5*H41-Tables!$B$24)),MIN(0.85*H41,0.85*((L41+BI41)+0.5*H41-Tables!$B$25)+MIN(Tables!$B$26,0.5*H41))))</f>
        <v/>
      </c>
      <c r="BK41">
        <f>R41+SUMPRODUCT(((MAX(0,L41+BI41+BJ41-(Tables!$B$22+IF(B41&gt;=Tables!$B$27,2*Tables!$B$23,0))))&gt;Tables!$A$31:$A$37)*((MAX(0,L41+BI41+BJ41-(Tables!$B$22+IF(B41&gt;=Tables!$B$27,2*Tables!$B$23,0))))-Tables!$A$31:$A$37)*Tables!$C$31:$C$37)-O41</f>
        <v/>
      </c>
      <c r="BL41">
        <f>IF((L41+BK41)+0.5*H41&lt;=Tables!$B$24,0,IF((L41+BK41)+0.5*H41&lt;=Tables!$B$25,MIN(0.5*H41,0.5*((L41+BK41)+0.5*H41-Tables!$B$24)),MIN(0.85*H41,0.85*((L41+BK41)+0.5*H41-Tables!$B$25)+MIN(Tables!$B$26,0.5*H41))))</f>
        <v/>
      </c>
      <c r="BM41">
        <f>R41+SUMPRODUCT(((MAX(0,L41+BK41+BL41-(Tables!$B$22+IF(B41&gt;=Tables!$B$27,2*Tables!$B$23,0))))&gt;Tables!$A$31:$A$37)*((MAX(0,L41+BK41+BL41-(Tables!$B$22+IF(B41&gt;=Tables!$B$27,2*Tables!$B$23,0))))-Tables!$A$31:$A$37)*Tables!$C$31:$C$37)-O41</f>
        <v/>
      </c>
      <c r="BN41">
        <f>IF((L41+BM41)+0.5*H41&lt;=Tables!$B$24,0,IF((L41+BM41)+0.5*H41&lt;=Tables!$B$25,MIN(0.5*H41,0.5*((L41+BM41)+0.5*H41-Tables!$B$24)),MIN(0.85*H41,0.85*((L41+BM41)+0.5*H41-Tables!$B$25)+MIN(Tables!$B$26,0.5*H41))))</f>
        <v/>
      </c>
      <c r="BO41">
        <f>R41+SUMPRODUCT(((MAX(0,L41+BM41+BN41-(Tables!$B$22+IF(B41&gt;=Tables!$B$27,2*Tables!$B$23,0))))&gt;Tables!$A$31:$A$37)*((MAX(0,L41+BM41+BN41-(Tables!$B$22+IF(B41&gt;=Tables!$B$27,2*Tables!$B$23,0))))-Tables!$A$31:$A$37)*Tables!$C$31:$C$37)-O41</f>
        <v/>
      </c>
      <c r="BP41">
        <f>MIN(BO41,S41)</f>
        <v/>
      </c>
      <c r="BQ41">
        <f>L41+BP41</f>
        <v/>
      </c>
      <c r="BR41">
        <f>IF(BQ41+0.5*H41&lt;=Tables!$B$24,0,IF(BQ41+0.5*H41&lt;=Tables!$B$25,MIN(0.5*H41,0.5*(BQ41+0.5*H41-Tables!$B$24)),MIN(0.85*H41,0.85*(BQ41+0.5*H41-Tables!$B$25)+MIN(Tables!$B$26,0.5*H41))))</f>
        <v/>
      </c>
      <c r="BS41">
        <f>MAX(0,BQ41+BR41-(Tables!$B$22+IF(B41&gt;=Tables!$B$27,2*Tables!$B$23,0)))</f>
        <v/>
      </c>
      <c r="BT41">
        <f>SUMPRODUCT(((BS41)&gt;Tables!$A$31:$A$37)*((BS41)-Tables!$A$31:$A$37)*Tables!$C$31:$C$37)</f>
        <v/>
      </c>
      <c r="BU41">
        <f>MAX(0,G41-(H41+BQ41+Q41-BT41))</f>
        <v/>
      </c>
      <c r="BV41">
        <f>MIN(J41,BU41)</f>
        <v/>
      </c>
      <c r="BW41">
        <f>H41+BQ41+Q41+BV41</f>
        <v/>
      </c>
      <c r="BX41">
        <f>MAX(0,BW41-G41-BT41)</f>
        <v/>
      </c>
      <c r="BY41">
        <f>MAX(0,G41+BT41-BW41)</f>
        <v/>
      </c>
      <c r="BZ41">
        <f>IF(C41=0,0,MAX(0,I41-BQ41)*(1+D41))</f>
        <v/>
      </c>
      <c r="CA41">
        <f>IF(C41=0,0,MAX(0,J41-BV41)*(1+D41))</f>
        <v/>
      </c>
      <c r="CB41">
        <f>IF(C41=0,0,MAX(0,K41-Q41+BX41)*(1+D41))</f>
        <v/>
      </c>
      <c r="CC41">
        <f>IF(C41=0,CC40,BZ41+CA41+CB41)</f>
        <v/>
      </c>
      <c r="CD41">
        <f>IF(C41=0,9999,IF(OR(BY41&gt;0.0001,CC41&lt;=0.0001),B41,9999))</f>
        <v/>
      </c>
    </row>
    <row r="42">
      <c r="A42" t="n">
        <v>40</v>
      </c>
      <c r="B42">
        <f>Tables!$B$13+A42</f>
        <v/>
      </c>
      <c r="C42">
        <f>IF(B42&lt;=Tables!$B$18,1,0)</f>
        <v/>
      </c>
      <c r="D42">
        <f>INDEX(Tables!$B$83:$B$123,A42+1)</f>
        <v/>
      </c>
      <c r="E42">
        <f>IF(A42=0,0,INDEX(Tables!$B$83:$B$123,A42))</f>
        <v/>
      </c>
      <c r="F42">
        <f>IF(AND(C42=1,Tables!$B$17="YES",A42&gt;0,E42&lt;Tables!$B$16),Tables!$B$15,0)</f>
        <v/>
      </c>
      <c r="G42">
        <f>IF(C42=0,0,Tables!$B$8-IF(B42&gt;=Tables!$B$7,Tables!$B$6,0)+IF(B42&lt;Tables!$B$27,Tables!$B$9,Tables!$B$10)-F42)</f>
        <v/>
      </c>
      <c r="H42">
        <f>IF(C42=0,0,IF(B42&gt;=Tables!$B$78,Tables!$D$78,0)+IF(B42&gt;=Tables!$C$78,Tables!$E$78,0))</f>
        <v/>
      </c>
      <c r="I42">
        <f>IF(C42=0,0,BZ41)</f>
        <v/>
      </c>
      <c r="J42">
        <f>IF(C42=0,0,CA41)</f>
        <v/>
      </c>
      <c r="K42">
        <f>IF(C42=0,0,CB41)</f>
        <v/>
      </c>
      <c r="L42">
        <f>IF(C42=0,0,IF(B42&gt;=Tables!$B$19,MIN(I42,I42/VLOOKUP(B42,Tables!$A$41:$B$61,2,FALSE)),0))</f>
        <v/>
      </c>
      <c r="M42">
        <f>IF(L42+0.5*H42&lt;=Tables!$B$24,0,IF(L42+0.5*H42&lt;=Tables!$B$25,MIN(0.5*H42,0.5*(L42+0.5*H42-Tables!$B$24)),MIN(0.85*H42,0.85*(L42+0.5*H42-Tables!$B$25)+MIN(Tables!$B$26,0.5*H42))))</f>
        <v/>
      </c>
      <c r="N42">
        <f>MAX(0,L42+M42-(Tables!$B$22+IF(B42&gt;=Tables!$B$27,2*Tables!$B$23,0)))</f>
        <v/>
      </c>
      <c r="O42">
        <f>SUMPRODUCT(((N42)&gt;Tables!$A$31:$A$37)*((N42)-Tables!$A$31:$A$37)*Tables!$C$31:$C$37)</f>
        <v/>
      </c>
      <c r="P42">
        <f>G42-(H42+L42-O42)</f>
        <v/>
      </c>
      <c r="Q42">
        <f>MIN(K42,MAX(0,P42))</f>
        <v/>
      </c>
      <c r="R42">
        <f>MAX(0,P42-Q42)</f>
        <v/>
      </c>
      <c r="S42">
        <f>MAX(0,I42-L42)</f>
        <v/>
      </c>
      <c r="T42">
        <f>IF((L42+R42)+0.5*H42&lt;=Tables!$B$24,0,IF((L42+R42)+0.5*H42&lt;=Tables!$B$25,MIN(0.5*H42,0.5*((L42+R42)+0.5*H42-Tables!$B$24)),MIN(0.85*H42,0.85*((L42+R42)+0.5*H42-Tables!$B$25)+MIN(Tables!$B$26,0.5*H42))))</f>
        <v/>
      </c>
      <c r="U42">
        <f>R42+SUMPRODUCT(((MAX(0,L42+R42+T42-(Tables!$B$22+IF(B42&gt;=Tables!$B$27,2*Tables!$B$23,0))))&gt;Tables!$A$31:$A$37)*((MAX(0,L42+R42+T42-(Tables!$B$22+IF(B42&gt;=Tables!$B$27,2*Tables!$B$23,0))))-Tables!$A$31:$A$37)*Tables!$C$31:$C$37)-O42</f>
        <v/>
      </c>
      <c r="V42">
        <f>IF((L42+U42)+0.5*H42&lt;=Tables!$B$24,0,IF((L42+U42)+0.5*H42&lt;=Tables!$B$25,MIN(0.5*H42,0.5*((L42+U42)+0.5*H42-Tables!$B$24)),MIN(0.85*H42,0.85*((L42+U42)+0.5*H42-Tables!$B$25)+MIN(Tables!$B$26,0.5*H42))))</f>
        <v/>
      </c>
      <c r="W42">
        <f>R42+SUMPRODUCT(((MAX(0,L42+U42+V42-(Tables!$B$22+IF(B42&gt;=Tables!$B$27,2*Tables!$B$23,0))))&gt;Tables!$A$31:$A$37)*((MAX(0,L42+U42+V42-(Tables!$B$22+IF(B42&gt;=Tables!$B$27,2*Tables!$B$23,0))))-Tables!$A$31:$A$37)*Tables!$C$31:$C$37)-O42</f>
        <v/>
      </c>
      <c r="X42">
        <f>IF((L42+W42)+0.5*H42&lt;=Tables!$B$24,0,IF((L42+W42)+0.5*H42&lt;=Tables!$B$25,MIN(0.5*H42,0.5*((L42+W42)+0.5*H42-Tables!$B$24)),MIN(0.85*H42,0.85*((L42+W42)+0.5*H42-Tables!$B$25)+MIN(Tables!$B$26,0.5*H42))))</f>
        <v/>
      </c>
      <c r="Y42">
        <f>R42+SUMPRODUCT(((MAX(0,L42+W42+X42-(Tables!$B$22+IF(B42&gt;=Tables!$B$27,2*Tables!$B$23,0))))&gt;Tables!$A$31:$A$37)*((MAX(0,L42+W42+X42-(Tables!$B$22+IF(B42&gt;=Tables!$B$27,2*Tables!$B$23,0))))-Tables!$A$31:$A$37)*Tables!$C$31:$C$37)-O42</f>
        <v/>
      </c>
      <c r="Z42">
        <f>IF((L42+Y42)+0.5*H42&lt;=Tables!$B$24,0,IF((L42+Y42)+0.5*H42&lt;=Tables!$B$25,MIN(0.5*H42,0.5*((L42+Y42)+0.5*H42-Tables!$B$24)),MIN(0.85*H42,0.85*((L42+Y42)+0.5*H42-Tables!$B$25)+MIN(Tables!$B$26,0.5*H42))))</f>
        <v/>
      </c>
      <c r="AA42">
        <f>R42+SUMPRODUCT(((MAX(0,L42+Y42+Z42-(Tables!$B$22+IF(B42&gt;=Tables!$B$27,2*Tables!$B$23,0))))&gt;Tables!$A$31:$A$37)*((MAX(0,L42+Y42+Z42-(Tables!$B$22+IF(B42&gt;=Tables!$B$27,2*Tables!$B$23,0))))-Tables!$A$31:$A$37)*Tables!$C$31:$C$37)-O42</f>
        <v/>
      </c>
      <c r="AB42">
        <f>IF((L42+AA42)+0.5*H42&lt;=Tables!$B$24,0,IF((L42+AA42)+0.5*H42&lt;=Tables!$B$25,MIN(0.5*H42,0.5*((L42+AA42)+0.5*H42-Tables!$B$24)),MIN(0.85*H42,0.85*((L42+AA42)+0.5*H42-Tables!$B$25)+MIN(Tables!$B$26,0.5*H42))))</f>
        <v/>
      </c>
      <c r="AC42">
        <f>R42+SUMPRODUCT(((MAX(0,L42+AA42+AB42-(Tables!$B$22+IF(B42&gt;=Tables!$B$27,2*Tables!$B$23,0))))&gt;Tables!$A$31:$A$37)*((MAX(0,L42+AA42+AB42-(Tables!$B$22+IF(B42&gt;=Tables!$B$27,2*Tables!$B$23,0))))-Tables!$A$31:$A$37)*Tables!$C$31:$C$37)-O42</f>
        <v/>
      </c>
      <c r="AD42">
        <f>IF((L42+AC42)+0.5*H42&lt;=Tables!$B$24,0,IF((L42+AC42)+0.5*H42&lt;=Tables!$B$25,MIN(0.5*H42,0.5*((L42+AC42)+0.5*H42-Tables!$B$24)),MIN(0.85*H42,0.85*((L42+AC42)+0.5*H42-Tables!$B$25)+MIN(Tables!$B$26,0.5*H42))))</f>
        <v/>
      </c>
      <c r="AE42">
        <f>R42+SUMPRODUCT(((MAX(0,L42+AC42+AD42-(Tables!$B$22+IF(B42&gt;=Tables!$B$27,2*Tables!$B$23,0))))&gt;Tables!$A$31:$A$37)*((MAX(0,L42+AC42+AD42-(Tables!$B$22+IF(B42&gt;=Tables!$B$27,2*Tables!$B$23,0))))-Tables!$A$31:$A$37)*Tables!$C$31:$C$37)-O42</f>
        <v/>
      </c>
      <c r="AF42">
        <f>IF((L42+AE42)+0.5*H42&lt;=Tables!$B$24,0,IF((L42+AE42)+0.5*H42&lt;=Tables!$B$25,MIN(0.5*H42,0.5*((L42+AE42)+0.5*H42-Tables!$B$24)),MIN(0.85*H42,0.85*((L42+AE42)+0.5*H42-Tables!$B$25)+MIN(Tables!$B$26,0.5*H42))))</f>
        <v/>
      </c>
      <c r="AG42">
        <f>R42+SUMPRODUCT(((MAX(0,L42+AE42+AF42-(Tables!$B$22+IF(B42&gt;=Tables!$B$27,2*Tables!$B$23,0))))&gt;Tables!$A$31:$A$37)*((MAX(0,L42+AE42+AF42-(Tables!$B$22+IF(B42&gt;=Tables!$B$27,2*Tables!$B$23,0))))-Tables!$A$31:$A$37)*Tables!$C$31:$C$37)-O42</f>
        <v/>
      </c>
      <c r="AH42">
        <f>IF((L42+AG42)+0.5*H42&lt;=Tables!$B$24,0,IF((L42+AG42)+0.5*H42&lt;=Tables!$B$25,MIN(0.5*H42,0.5*((L42+AG42)+0.5*H42-Tables!$B$24)),MIN(0.85*H42,0.85*((L42+AG42)+0.5*H42-Tables!$B$25)+MIN(Tables!$B$26,0.5*H42))))</f>
        <v/>
      </c>
      <c r="AI42">
        <f>R42+SUMPRODUCT(((MAX(0,L42+AG42+AH42-(Tables!$B$22+IF(B42&gt;=Tables!$B$27,2*Tables!$B$23,0))))&gt;Tables!$A$31:$A$37)*((MAX(0,L42+AG42+AH42-(Tables!$B$22+IF(B42&gt;=Tables!$B$27,2*Tables!$B$23,0))))-Tables!$A$31:$A$37)*Tables!$C$31:$C$37)-O42</f>
        <v/>
      </c>
      <c r="AJ42">
        <f>IF((L42+AI42)+0.5*H42&lt;=Tables!$B$24,0,IF((L42+AI42)+0.5*H42&lt;=Tables!$B$25,MIN(0.5*H42,0.5*((L42+AI42)+0.5*H42-Tables!$B$24)),MIN(0.85*H42,0.85*((L42+AI42)+0.5*H42-Tables!$B$25)+MIN(Tables!$B$26,0.5*H42))))</f>
        <v/>
      </c>
      <c r="AK42">
        <f>R42+SUMPRODUCT(((MAX(0,L42+AI42+AJ42-(Tables!$B$22+IF(B42&gt;=Tables!$B$27,2*Tables!$B$23,0))))&gt;Tables!$A$31:$A$37)*((MAX(0,L42+AI42+AJ42-(Tables!$B$22+IF(B42&gt;=Tables!$B$27,2*Tables!$B$23,0))))-Tables!$A$31:$A$37)*Tables!$C$31:$C$37)-O42</f>
        <v/>
      </c>
      <c r="AL42">
        <f>IF((L42+AK42)+0.5*H42&lt;=Tables!$B$24,0,IF((L42+AK42)+0.5*H42&lt;=Tables!$B$25,MIN(0.5*H42,0.5*((L42+AK42)+0.5*H42-Tables!$B$24)),MIN(0.85*H42,0.85*((L42+AK42)+0.5*H42-Tables!$B$25)+MIN(Tables!$B$26,0.5*H42))))</f>
        <v/>
      </c>
      <c r="AM42">
        <f>R42+SUMPRODUCT(((MAX(0,L42+AK42+AL42-(Tables!$B$22+IF(B42&gt;=Tables!$B$27,2*Tables!$B$23,0))))&gt;Tables!$A$31:$A$37)*((MAX(0,L42+AK42+AL42-(Tables!$B$22+IF(B42&gt;=Tables!$B$27,2*Tables!$B$23,0))))-Tables!$A$31:$A$37)*Tables!$C$31:$C$37)-O42</f>
        <v/>
      </c>
      <c r="AN42">
        <f>IF((L42+AM42)+0.5*H42&lt;=Tables!$B$24,0,IF((L42+AM42)+0.5*H42&lt;=Tables!$B$25,MIN(0.5*H42,0.5*((L42+AM42)+0.5*H42-Tables!$B$24)),MIN(0.85*H42,0.85*((L42+AM42)+0.5*H42-Tables!$B$25)+MIN(Tables!$B$26,0.5*H42))))</f>
        <v/>
      </c>
      <c r="AO42">
        <f>R42+SUMPRODUCT(((MAX(0,L42+AM42+AN42-(Tables!$B$22+IF(B42&gt;=Tables!$B$27,2*Tables!$B$23,0))))&gt;Tables!$A$31:$A$37)*((MAX(0,L42+AM42+AN42-(Tables!$B$22+IF(B42&gt;=Tables!$B$27,2*Tables!$B$23,0))))-Tables!$A$31:$A$37)*Tables!$C$31:$C$37)-O42</f>
        <v/>
      </c>
      <c r="AP42">
        <f>IF((L42+AO42)+0.5*H42&lt;=Tables!$B$24,0,IF((L42+AO42)+0.5*H42&lt;=Tables!$B$25,MIN(0.5*H42,0.5*((L42+AO42)+0.5*H42-Tables!$B$24)),MIN(0.85*H42,0.85*((L42+AO42)+0.5*H42-Tables!$B$25)+MIN(Tables!$B$26,0.5*H42))))</f>
        <v/>
      </c>
      <c r="AQ42">
        <f>R42+SUMPRODUCT(((MAX(0,L42+AO42+AP42-(Tables!$B$22+IF(B42&gt;=Tables!$B$27,2*Tables!$B$23,0))))&gt;Tables!$A$31:$A$37)*((MAX(0,L42+AO42+AP42-(Tables!$B$22+IF(B42&gt;=Tables!$B$27,2*Tables!$B$23,0))))-Tables!$A$31:$A$37)*Tables!$C$31:$C$37)-O42</f>
        <v/>
      </c>
      <c r="AR42">
        <f>IF((L42+AQ42)+0.5*H42&lt;=Tables!$B$24,0,IF((L42+AQ42)+0.5*H42&lt;=Tables!$B$25,MIN(0.5*H42,0.5*((L42+AQ42)+0.5*H42-Tables!$B$24)),MIN(0.85*H42,0.85*((L42+AQ42)+0.5*H42-Tables!$B$25)+MIN(Tables!$B$26,0.5*H42))))</f>
        <v/>
      </c>
      <c r="AS42">
        <f>R42+SUMPRODUCT(((MAX(0,L42+AQ42+AR42-(Tables!$B$22+IF(B42&gt;=Tables!$B$27,2*Tables!$B$23,0))))&gt;Tables!$A$31:$A$37)*((MAX(0,L42+AQ42+AR42-(Tables!$B$22+IF(B42&gt;=Tables!$B$27,2*Tables!$B$23,0))))-Tables!$A$31:$A$37)*Tables!$C$31:$C$37)-O42</f>
        <v/>
      </c>
      <c r="AT42">
        <f>IF((L42+AS42)+0.5*H42&lt;=Tables!$B$24,0,IF((L42+AS42)+0.5*H42&lt;=Tables!$B$25,MIN(0.5*H42,0.5*((L42+AS42)+0.5*H42-Tables!$B$24)),MIN(0.85*H42,0.85*((L42+AS42)+0.5*H42-Tables!$B$25)+MIN(Tables!$B$26,0.5*H42))))</f>
        <v/>
      </c>
      <c r="AU42">
        <f>R42+SUMPRODUCT(((MAX(0,L42+AS42+AT42-(Tables!$B$22+IF(B42&gt;=Tables!$B$27,2*Tables!$B$23,0))))&gt;Tables!$A$31:$A$37)*((MAX(0,L42+AS42+AT42-(Tables!$B$22+IF(B42&gt;=Tables!$B$27,2*Tables!$B$23,0))))-Tables!$A$31:$A$37)*Tables!$C$31:$C$37)-O42</f>
        <v/>
      </c>
      <c r="AV42">
        <f>IF((L42+AU42)+0.5*H42&lt;=Tables!$B$24,0,IF((L42+AU42)+0.5*H42&lt;=Tables!$B$25,MIN(0.5*H42,0.5*((L42+AU42)+0.5*H42-Tables!$B$24)),MIN(0.85*H42,0.85*((L42+AU42)+0.5*H42-Tables!$B$25)+MIN(Tables!$B$26,0.5*H42))))</f>
        <v/>
      </c>
      <c r="AW42">
        <f>R42+SUMPRODUCT(((MAX(0,L42+AU42+AV42-(Tables!$B$22+IF(B42&gt;=Tables!$B$27,2*Tables!$B$23,0))))&gt;Tables!$A$31:$A$37)*((MAX(0,L42+AU42+AV42-(Tables!$B$22+IF(B42&gt;=Tables!$B$27,2*Tables!$B$23,0))))-Tables!$A$31:$A$37)*Tables!$C$31:$C$37)-O42</f>
        <v/>
      </c>
      <c r="AX42">
        <f>IF((L42+AW42)+0.5*H42&lt;=Tables!$B$24,0,IF((L42+AW42)+0.5*H42&lt;=Tables!$B$25,MIN(0.5*H42,0.5*((L42+AW42)+0.5*H42-Tables!$B$24)),MIN(0.85*H42,0.85*((L42+AW42)+0.5*H42-Tables!$B$25)+MIN(Tables!$B$26,0.5*H42))))</f>
        <v/>
      </c>
      <c r="AY42">
        <f>R42+SUMPRODUCT(((MAX(0,L42+AW42+AX42-(Tables!$B$22+IF(B42&gt;=Tables!$B$27,2*Tables!$B$23,0))))&gt;Tables!$A$31:$A$37)*((MAX(0,L42+AW42+AX42-(Tables!$B$22+IF(B42&gt;=Tables!$B$27,2*Tables!$B$23,0))))-Tables!$A$31:$A$37)*Tables!$C$31:$C$37)-O42</f>
        <v/>
      </c>
      <c r="AZ42">
        <f>IF((L42+AY42)+0.5*H42&lt;=Tables!$B$24,0,IF((L42+AY42)+0.5*H42&lt;=Tables!$B$25,MIN(0.5*H42,0.5*((L42+AY42)+0.5*H42-Tables!$B$24)),MIN(0.85*H42,0.85*((L42+AY42)+0.5*H42-Tables!$B$25)+MIN(Tables!$B$26,0.5*H42))))</f>
        <v/>
      </c>
      <c r="BA42">
        <f>R42+SUMPRODUCT(((MAX(0,L42+AY42+AZ42-(Tables!$B$22+IF(B42&gt;=Tables!$B$27,2*Tables!$B$23,0))))&gt;Tables!$A$31:$A$37)*((MAX(0,L42+AY42+AZ42-(Tables!$B$22+IF(B42&gt;=Tables!$B$27,2*Tables!$B$23,0))))-Tables!$A$31:$A$37)*Tables!$C$31:$C$37)-O42</f>
        <v/>
      </c>
      <c r="BB42">
        <f>IF((L42+BA42)+0.5*H42&lt;=Tables!$B$24,0,IF((L42+BA42)+0.5*H42&lt;=Tables!$B$25,MIN(0.5*H42,0.5*((L42+BA42)+0.5*H42-Tables!$B$24)),MIN(0.85*H42,0.85*((L42+BA42)+0.5*H42-Tables!$B$25)+MIN(Tables!$B$26,0.5*H42))))</f>
        <v/>
      </c>
      <c r="BC42">
        <f>R42+SUMPRODUCT(((MAX(0,L42+BA42+BB42-(Tables!$B$22+IF(B42&gt;=Tables!$B$27,2*Tables!$B$23,0))))&gt;Tables!$A$31:$A$37)*((MAX(0,L42+BA42+BB42-(Tables!$B$22+IF(B42&gt;=Tables!$B$27,2*Tables!$B$23,0))))-Tables!$A$31:$A$37)*Tables!$C$31:$C$37)-O42</f>
        <v/>
      </c>
      <c r="BD42">
        <f>IF((L42+BC42)+0.5*H42&lt;=Tables!$B$24,0,IF((L42+BC42)+0.5*H42&lt;=Tables!$B$25,MIN(0.5*H42,0.5*((L42+BC42)+0.5*H42-Tables!$B$24)),MIN(0.85*H42,0.85*((L42+BC42)+0.5*H42-Tables!$B$25)+MIN(Tables!$B$26,0.5*H42))))</f>
        <v/>
      </c>
      <c r="BE42">
        <f>R42+SUMPRODUCT(((MAX(0,L42+BC42+BD42-(Tables!$B$22+IF(B42&gt;=Tables!$B$27,2*Tables!$B$23,0))))&gt;Tables!$A$31:$A$37)*((MAX(0,L42+BC42+BD42-(Tables!$B$22+IF(B42&gt;=Tables!$B$27,2*Tables!$B$23,0))))-Tables!$A$31:$A$37)*Tables!$C$31:$C$37)-O42</f>
        <v/>
      </c>
      <c r="BF42">
        <f>IF((L42+BE42)+0.5*H42&lt;=Tables!$B$24,0,IF((L42+BE42)+0.5*H42&lt;=Tables!$B$25,MIN(0.5*H42,0.5*((L42+BE42)+0.5*H42-Tables!$B$24)),MIN(0.85*H42,0.85*((L42+BE42)+0.5*H42-Tables!$B$25)+MIN(Tables!$B$26,0.5*H42))))</f>
        <v/>
      </c>
      <c r="BG42">
        <f>R42+SUMPRODUCT(((MAX(0,L42+BE42+BF42-(Tables!$B$22+IF(B42&gt;=Tables!$B$27,2*Tables!$B$23,0))))&gt;Tables!$A$31:$A$37)*((MAX(0,L42+BE42+BF42-(Tables!$B$22+IF(B42&gt;=Tables!$B$27,2*Tables!$B$23,0))))-Tables!$A$31:$A$37)*Tables!$C$31:$C$37)-O42</f>
        <v/>
      </c>
      <c r="BH42">
        <f>IF((L42+BG42)+0.5*H42&lt;=Tables!$B$24,0,IF((L42+BG42)+0.5*H42&lt;=Tables!$B$25,MIN(0.5*H42,0.5*((L42+BG42)+0.5*H42-Tables!$B$24)),MIN(0.85*H42,0.85*((L42+BG42)+0.5*H42-Tables!$B$25)+MIN(Tables!$B$26,0.5*H42))))</f>
        <v/>
      </c>
      <c r="BI42">
        <f>R42+SUMPRODUCT(((MAX(0,L42+BG42+BH42-(Tables!$B$22+IF(B42&gt;=Tables!$B$27,2*Tables!$B$23,0))))&gt;Tables!$A$31:$A$37)*((MAX(0,L42+BG42+BH42-(Tables!$B$22+IF(B42&gt;=Tables!$B$27,2*Tables!$B$23,0))))-Tables!$A$31:$A$37)*Tables!$C$31:$C$37)-O42</f>
        <v/>
      </c>
      <c r="BJ42">
        <f>IF((L42+BI42)+0.5*H42&lt;=Tables!$B$24,0,IF((L42+BI42)+0.5*H42&lt;=Tables!$B$25,MIN(0.5*H42,0.5*((L42+BI42)+0.5*H42-Tables!$B$24)),MIN(0.85*H42,0.85*((L42+BI42)+0.5*H42-Tables!$B$25)+MIN(Tables!$B$26,0.5*H42))))</f>
        <v/>
      </c>
      <c r="BK42">
        <f>R42+SUMPRODUCT(((MAX(0,L42+BI42+BJ42-(Tables!$B$22+IF(B42&gt;=Tables!$B$27,2*Tables!$B$23,0))))&gt;Tables!$A$31:$A$37)*((MAX(0,L42+BI42+BJ42-(Tables!$B$22+IF(B42&gt;=Tables!$B$27,2*Tables!$B$23,0))))-Tables!$A$31:$A$37)*Tables!$C$31:$C$37)-O42</f>
        <v/>
      </c>
      <c r="BL42">
        <f>IF((L42+BK42)+0.5*H42&lt;=Tables!$B$24,0,IF((L42+BK42)+0.5*H42&lt;=Tables!$B$25,MIN(0.5*H42,0.5*((L42+BK42)+0.5*H42-Tables!$B$24)),MIN(0.85*H42,0.85*((L42+BK42)+0.5*H42-Tables!$B$25)+MIN(Tables!$B$26,0.5*H42))))</f>
        <v/>
      </c>
      <c r="BM42">
        <f>R42+SUMPRODUCT(((MAX(0,L42+BK42+BL42-(Tables!$B$22+IF(B42&gt;=Tables!$B$27,2*Tables!$B$23,0))))&gt;Tables!$A$31:$A$37)*((MAX(0,L42+BK42+BL42-(Tables!$B$22+IF(B42&gt;=Tables!$B$27,2*Tables!$B$23,0))))-Tables!$A$31:$A$37)*Tables!$C$31:$C$37)-O42</f>
        <v/>
      </c>
      <c r="BN42">
        <f>IF((L42+BM42)+0.5*H42&lt;=Tables!$B$24,0,IF((L42+BM42)+0.5*H42&lt;=Tables!$B$25,MIN(0.5*H42,0.5*((L42+BM42)+0.5*H42-Tables!$B$24)),MIN(0.85*H42,0.85*((L42+BM42)+0.5*H42-Tables!$B$25)+MIN(Tables!$B$26,0.5*H42))))</f>
        <v/>
      </c>
      <c r="BO42">
        <f>R42+SUMPRODUCT(((MAX(0,L42+BM42+BN42-(Tables!$B$22+IF(B42&gt;=Tables!$B$27,2*Tables!$B$23,0))))&gt;Tables!$A$31:$A$37)*((MAX(0,L42+BM42+BN42-(Tables!$B$22+IF(B42&gt;=Tables!$B$27,2*Tables!$B$23,0))))-Tables!$A$31:$A$37)*Tables!$C$31:$C$37)-O42</f>
        <v/>
      </c>
      <c r="BP42">
        <f>MIN(BO42,S42)</f>
        <v/>
      </c>
      <c r="BQ42">
        <f>L42+BP42</f>
        <v/>
      </c>
      <c r="BR42">
        <f>IF(BQ42+0.5*H42&lt;=Tables!$B$24,0,IF(BQ42+0.5*H42&lt;=Tables!$B$25,MIN(0.5*H42,0.5*(BQ42+0.5*H42-Tables!$B$24)),MIN(0.85*H42,0.85*(BQ42+0.5*H42-Tables!$B$25)+MIN(Tables!$B$26,0.5*H42))))</f>
        <v/>
      </c>
      <c r="BS42">
        <f>MAX(0,BQ42+BR42-(Tables!$B$22+IF(B42&gt;=Tables!$B$27,2*Tables!$B$23,0)))</f>
        <v/>
      </c>
      <c r="BT42">
        <f>SUMPRODUCT(((BS42)&gt;Tables!$A$31:$A$37)*((BS42)-Tables!$A$31:$A$37)*Tables!$C$31:$C$37)</f>
        <v/>
      </c>
      <c r="BU42">
        <f>MAX(0,G42-(H42+BQ42+Q42-BT42))</f>
        <v/>
      </c>
      <c r="BV42">
        <f>MIN(J42,BU42)</f>
        <v/>
      </c>
      <c r="BW42">
        <f>H42+BQ42+Q42+BV42</f>
        <v/>
      </c>
      <c r="BX42">
        <f>MAX(0,BW42-G42-BT42)</f>
        <v/>
      </c>
      <c r="BY42">
        <f>MAX(0,G42+BT42-BW42)</f>
        <v/>
      </c>
      <c r="BZ42">
        <f>IF(C42=0,0,MAX(0,I42-BQ42)*(1+D42))</f>
        <v/>
      </c>
      <c r="CA42">
        <f>IF(C42=0,0,MAX(0,J42-BV42)*(1+D42))</f>
        <v/>
      </c>
      <c r="CB42">
        <f>IF(C42=0,0,MAX(0,K42-Q42+BX42)*(1+D42))</f>
        <v/>
      </c>
      <c r="CC42">
        <f>IF(C42=0,CC41,BZ42+CA42+CB42)</f>
        <v/>
      </c>
      <c r="CD42">
        <f>IF(C42=0,9999,IF(OR(BY42&gt;0.0001,CC42&lt;=0.0001),B42,9999))</f>
        <v/>
      </c>
    </row>
    <row r="45">
      <c r="A45" s="74" t="inlineStr">
        <is>
          <t>Ending balance at horizon</t>
        </is>
      </c>
      <c r="B45">
        <f>INDEX(CC2:CC42,MATCH(Tables!$B$18,B2:B42,0))</f>
        <v/>
      </c>
    </row>
    <row r="46">
      <c r="A46" s="74" t="inlineStr">
        <is>
          <t>Minimum year-end balance</t>
        </is>
      </c>
      <c r="B46">
        <f>MIN(CC2:CC42)</f>
        <v/>
      </c>
    </row>
    <row r="47">
      <c r="A47" s="74" t="inlineStr">
        <is>
          <t>Depletion age raw (9999 = never)</t>
        </is>
      </c>
      <c r="B47">
        <f>MIN(CD2:CD42)</f>
        <v/>
      </c>
    </row>
    <row r="48">
      <c r="A48" s="74" t="inlineStr">
        <is>
          <t>Depletion age display</t>
        </is>
      </c>
      <c r="B48">
        <f>IF(B47=9999,"—",B47)</f>
        <v/>
      </c>
    </row>
  </sheetData>
  <sheetProtection selectLockedCells="0" selectUnlockedCells="0" sheet="1" objects="0" insertRows="1" insertHyperlinks="1" autoFilter="1" scenarios="0" formatColumns="0" deleteColumns="1" insertColumns="1" pivotTables="1" deleteRows="1" formatCells="0" formatRows="0" sort="1"/>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2026-07-20T05:52:50Z</dcterms:created>
  <dcterms:modified xsi:type="dcterms:W3CDTF">2026-07-20T05:52:50Z</dcterms:modified>
</cp:coreProperties>
</file>